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administrator/Library/Containers/com.microsoft.Excel/Data/ivankamenken-templates/"/>
    </mc:Choice>
  </mc:AlternateContent>
  <xr:revisionPtr revIDLastSave="0" documentId="8_{127C562A-B055-C14B-80DF-0B1530FAFABC}" xr6:coauthVersionLast="47" xr6:coauthVersionMax="47" xr10:uidLastSave="{00000000-0000-0000-0000-000000000000}"/>
  <bookViews>
    <workbookView xWindow="0" yWindow="500" windowWidth="38400" windowHeight="19760" xr2:uid="{00000000-000D-0000-FFFF-FFFF00000000}"/>
  </bookViews>
  <sheets>
    <sheet name="Cover" sheetId="1" r:id="rId1"/>
    <sheet name="Inputs" sheetId="2" r:id="rId2"/>
    <sheet name="Dashboard" sheetId="3" r:id="rId3"/>
    <sheet name="Cash flow" sheetId="4" r:id="rId4"/>
    <sheet name="Checks" sheetId="5" r:id="rId5"/>
  </sheets>
  <definedNames>
    <definedName name="BusinessName">Inputs!$D$7</definedName>
    <definedName name="CustomerReceipts">Inputs!$D$31:$P$31</definedName>
    <definedName name="DownsideDelayWeeks">Inputs!$D$25</definedName>
    <definedName name="DownsideHaircut">Inputs!$D$24</definedName>
    <definedName name="FinanceIn">Inputs!$D$33:$P$33</definedName>
    <definedName name="GrossWagesPerRun">Inputs!$D$14</definedName>
    <definedName name="GstBasPayments">Inputs!$D$40:$P$40</definedName>
    <definedName name="LoanRepayments">Inputs!$D$39:$P$39</definedName>
    <definedName name="MinimumCash">Inputs!$D$10</definedName>
    <definedName name="NextPayDay">Inputs!$D$16</definedName>
    <definedName name="OpeningCash">Inputs!$D$9</definedName>
    <definedName name="OtherIncome">Inputs!$D$32:$P$32</definedName>
    <definedName name="OtherPayments">Inputs!$D$41:$P$41</definedName>
    <definedName name="OtherPayroll">Inputs!$D$35:$P$35</definedName>
    <definedName name="PayFrequency">Inputs!$D$15</definedName>
    <definedName name="PaygWithholdingPaid">Inputs!$D$36:$P$36</definedName>
    <definedName name="PaygWithholdingRate">Inputs!$D$17</definedName>
    <definedName name="PayrollTaxDay">Inputs!$D$20</definedName>
    <definedName name="PayrollTaxRate">Inputs!$D$19</definedName>
    <definedName name="_xlnm.Print_Area" localSheetId="3">'Cash flow'!$A$1:$R$54</definedName>
    <definedName name="_xlnm.Print_Area" localSheetId="4">Checks!$A$1:$F$26</definedName>
    <definedName name="_xlnm.Print_Area" localSheetId="0">Cover!$A$1:$J$51</definedName>
    <definedName name="_xlnm.Print_Area" localSheetId="2">Dashboard!$A$1:$Q$51</definedName>
    <definedName name="_xlnm.Print_Area" localSheetId="1">Inputs!$A$1:$R$44</definedName>
    <definedName name="_xlnm.Print_Titles" localSheetId="3">'Cash flow'!$5:$6</definedName>
    <definedName name="_xlnm.Print_Titles" localSheetId="4">Checks!$7:$7</definedName>
    <definedName name="_xlnm.Print_Titles" localSheetId="1">Inputs!$28:$29</definedName>
    <definedName name="Rent">Inputs!$D$38:$P$38</definedName>
    <definedName name="Scenario">Inputs!$D$11</definedName>
    <definedName name="SuperGuaranteeRate">Inputs!$D$18</definedName>
    <definedName name="Suppliers">Inputs!$D$37:$P$37</definedName>
    <definedName name="WeeklyPayrollOverride">Inputs!$D$21</definedName>
    <definedName name="WeekOneStart">Inputs!$D$8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5" l="1"/>
  <c r="D22" i="5"/>
  <c r="D21" i="5"/>
  <c r="D20" i="5"/>
  <c r="D19" i="5"/>
  <c r="D18" i="5"/>
  <c r="D17" i="5"/>
  <c r="D16" i="5"/>
  <c r="D15" i="5"/>
  <c r="D14" i="5"/>
  <c r="D13" i="5"/>
  <c r="D12" i="5"/>
  <c r="D11" i="5"/>
  <c r="D10" i="5"/>
  <c r="D9" i="5"/>
  <c r="D8" i="5"/>
  <c r="D6" i="5"/>
  <c r="D52" i="4"/>
  <c r="D51" i="4"/>
  <c r="D46" i="4"/>
  <c r="P39" i="4"/>
  <c r="O39" i="4"/>
  <c r="N39" i="4"/>
  <c r="M39" i="4"/>
  <c r="L39" i="4"/>
  <c r="K39" i="4"/>
  <c r="J39" i="4"/>
  <c r="I39" i="4"/>
  <c r="H39" i="4"/>
  <c r="G39" i="4"/>
  <c r="F39" i="4"/>
  <c r="E39" i="4"/>
  <c r="D39" i="4"/>
  <c r="P38" i="4"/>
  <c r="P10" i="4" s="1"/>
  <c r="O38" i="4"/>
  <c r="O10" i="4" s="1"/>
  <c r="N38" i="4"/>
  <c r="M38" i="4"/>
  <c r="L38" i="4"/>
  <c r="K38" i="4"/>
  <c r="J38" i="4"/>
  <c r="I38" i="4"/>
  <c r="H38" i="4"/>
  <c r="G38" i="4"/>
  <c r="F38" i="4"/>
  <c r="E38" i="4"/>
  <c r="D38" i="4"/>
  <c r="P28" i="4"/>
  <c r="O28" i="4"/>
  <c r="N28" i="4"/>
  <c r="M28" i="4"/>
  <c r="L28" i="4"/>
  <c r="K28" i="4"/>
  <c r="J28" i="4"/>
  <c r="I28" i="4"/>
  <c r="H28" i="4"/>
  <c r="G28" i="4"/>
  <c r="F28" i="4"/>
  <c r="E28" i="4"/>
  <c r="D28" i="4"/>
  <c r="P24" i="4"/>
  <c r="O24" i="4"/>
  <c r="N24" i="4"/>
  <c r="M24" i="4"/>
  <c r="L24" i="4"/>
  <c r="K24" i="4"/>
  <c r="J24" i="4"/>
  <c r="I24" i="4"/>
  <c r="H24" i="4"/>
  <c r="G24" i="4"/>
  <c r="F24" i="4"/>
  <c r="E24" i="4"/>
  <c r="D24" i="4"/>
  <c r="Q24" i="4" s="1"/>
  <c r="P23" i="4"/>
  <c r="O23" i="4"/>
  <c r="N23" i="4"/>
  <c r="M23" i="4"/>
  <c r="L23" i="4"/>
  <c r="K23" i="4"/>
  <c r="J23" i="4"/>
  <c r="I23" i="4"/>
  <c r="H23" i="4"/>
  <c r="G23" i="4"/>
  <c r="F23" i="4"/>
  <c r="E23" i="4"/>
  <c r="D23" i="4"/>
  <c r="P22" i="4"/>
  <c r="O22" i="4"/>
  <c r="N22" i="4"/>
  <c r="M22" i="4"/>
  <c r="L22" i="4"/>
  <c r="K22" i="4"/>
  <c r="J22" i="4"/>
  <c r="I22" i="4"/>
  <c r="H22" i="4"/>
  <c r="G22" i="4"/>
  <c r="F22" i="4"/>
  <c r="E22" i="4"/>
  <c r="D22" i="4"/>
  <c r="P21" i="4"/>
  <c r="O21" i="4"/>
  <c r="N21" i="4"/>
  <c r="M21" i="4"/>
  <c r="L21" i="4"/>
  <c r="K21" i="4"/>
  <c r="J21" i="4"/>
  <c r="I21" i="4"/>
  <c r="H21" i="4"/>
  <c r="G21" i="4"/>
  <c r="F21" i="4"/>
  <c r="E21" i="4"/>
  <c r="D21" i="4"/>
  <c r="P20" i="4"/>
  <c r="O20" i="4"/>
  <c r="N20" i="4"/>
  <c r="M20" i="4"/>
  <c r="L20" i="4"/>
  <c r="K20" i="4"/>
  <c r="J20" i="4"/>
  <c r="I20" i="4"/>
  <c r="H20" i="4"/>
  <c r="G20" i="4"/>
  <c r="F20" i="4"/>
  <c r="E20" i="4"/>
  <c r="D20" i="4"/>
  <c r="P19" i="4"/>
  <c r="O19" i="4"/>
  <c r="N19" i="4"/>
  <c r="M19" i="4"/>
  <c r="L19" i="4"/>
  <c r="K19" i="4"/>
  <c r="J19" i="4"/>
  <c r="I19" i="4"/>
  <c r="H19" i="4"/>
  <c r="G19" i="4"/>
  <c r="F19" i="4"/>
  <c r="E19" i="4"/>
  <c r="D19" i="4"/>
  <c r="Q19" i="4" s="1"/>
  <c r="P18" i="4"/>
  <c r="O18" i="4"/>
  <c r="N18" i="4"/>
  <c r="M18" i="4"/>
  <c r="L18" i="4"/>
  <c r="K18" i="4"/>
  <c r="J18" i="4"/>
  <c r="I18" i="4"/>
  <c r="H18" i="4"/>
  <c r="G18" i="4"/>
  <c r="F18" i="4"/>
  <c r="E18" i="4"/>
  <c r="D18" i="4"/>
  <c r="P12" i="4"/>
  <c r="O12" i="4"/>
  <c r="N12" i="4"/>
  <c r="M12" i="4"/>
  <c r="L12" i="4"/>
  <c r="K12" i="4"/>
  <c r="J12" i="4"/>
  <c r="I12" i="4"/>
  <c r="H12" i="4"/>
  <c r="G12" i="4"/>
  <c r="F12" i="4"/>
  <c r="E12" i="4"/>
  <c r="D12" i="4"/>
  <c r="Q12" i="4" s="1"/>
  <c r="P11" i="4"/>
  <c r="O11" i="4"/>
  <c r="N11" i="4"/>
  <c r="M11" i="4"/>
  <c r="L11" i="4"/>
  <c r="K11" i="4"/>
  <c r="J11" i="4"/>
  <c r="I11" i="4"/>
  <c r="H11" i="4"/>
  <c r="G11" i="4"/>
  <c r="F11" i="4"/>
  <c r="E11" i="4"/>
  <c r="D11" i="4"/>
  <c r="N10" i="4"/>
  <c r="N13" i="4" s="1"/>
  <c r="M10" i="4"/>
  <c r="L10" i="4"/>
  <c r="L13" i="4" s="1"/>
  <c r="K10" i="4"/>
  <c r="K13" i="4" s="1"/>
  <c r="J10" i="4"/>
  <c r="J13" i="4" s="1"/>
  <c r="I10" i="4"/>
  <c r="I13" i="4" s="1"/>
  <c r="H10" i="4"/>
  <c r="H13" i="4" s="1"/>
  <c r="G10" i="4"/>
  <c r="G13" i="4" s="1"/>
  <c r="F10" i="4"/>
  <c r="F13" i="4" s="1"/>
  <c r="E10" i="4"/>
  <c r="E13" i="4" s="1"/>
  <c r="D10" i="4"/>
  <c r="D13" i="4" s="1"/>
  <c r="D8" i="4"/>
  <c r="B3" i="4"/>
  <c r="B16" i="3"/>
  <c r="B2" i="3"/>
  <c r="Q41" i="2"/>
  <c r="Q40" i="2"/>
  <c r="Q39" i="2"/>
  <c r="Q38" i="2"/>
  <c r="Q37" i="2"/>
  <c r="Q36" i="2"/>
  <c r="Q35" i="2"/>
  <c r="Q33" i="2"/>
  <c r="Q32" i="2"/>
  <c r="Q31" i="2"/>
  <c r="P29" i="2"/>
  <c r="P6" i="4" s="1"/>
  <c r="O29" i="2"/>
  <c r="O6" i="4" s="1"/>
  <c r="N29" i="2"/>
  <c r="N6" i="4" s="1"/>
  <c r="M29" i="2"/>
  <c r="M6" i="4" s="1"/>
  <c r="L29" i="2"/>
  <c r="L6" i="4" s="1"/>
  <c r="K29" i="2"/>
  <c r="K6" i="4" s="1"/>
  <c r="J29" i="2"/>
  <c r="J6" i="4" s="1"/>
  <c r="I29" i="2"/>
  <c r="I6" i="4" s="1"/>
  <c r="H29" i="2"/>
  <c r="H6" i="4" s="1"/>
  <c r="G29" i="2"/>
  <c r="G6" i="4" s="1"/>
  <c r="F29" i="2"/>
  <c r="F6" i="4" s="1"/>
  <c r="E29" i="2"/>
  <c r="E6" i="4" s="1"/>
  <c r="D29" i="2"/>
  <c r="D6" i="4" s="1"/>
  <c r="Q18" i="4" l="1"/>
  <c r="P13" i="4"/>
  <c r="O13" i="4"/>
  <c r="Q21" i="4"/>
  <c r="Q23" i="4"/>
  <c r="Q22" i="4"/>
  <c r="Q20" i="4"/>
  <c r="D47" i="4"/>
  <c r="D50" i="4" s="1"/>
  <c r="D48" i="4"/>
  <c r="D49" i="4" s="1"/>
  <c r="Q11" i="4"/>
  <c r="Q10" i="4"/>
  <c r="M13" i="4"/>
  <c r="Q13" i="4" s="1"/>
  <c r="P43" i="4"/>
  <c r="P38" i="3"/>
  <c r="P35" i="4"/>
  <c r="P36" i="4"/>
  <c r="P37" i="4"/>
  <c r="P17" i="4" s="1"/>
  <c r="O38" i="3"/>
  <c r="O35" i="4"/>
  <c r="O36" i="4"/>
  <c r="O37" i="4"/>
  <c r="O17" i="4" s="1"/>
  <c r="O43" i="4"/>
  <c r="N38" i="3"/>
  <c r="N43" i="4"/>
  <c r="N35" i="4"/>
  <c r="N36" i="4"/>
  <c r="N37" i="4"/>
  <c r="N17" i="4" s="1"/>
  <c r="M43" i="4"/>
  <c r="M38" i="3"/>
  <c r="M35" i="4"/>
  <c r="M36" i="4"/>
  <c r="M37" i="4"/>
  <c r="M17" i="4" s="1"/>
  <c r="L43" i="4"/>
  <c r="L35" i="4"/>
  <c r="L36" i="4"/>
  <c r="L37" i="4"/>
  <c r="L38" i="3"/>
  <c r="K35" i="4"/>
  <c r="K36" i="4"/>
  <c r="K37" i="4"/>
  <c r="K43" i="4"/>
  <c r="K38" i="3"/>
  <c r="J43" i="4"/>
  <c r="J38" i="3"/>
  <c r="J35" i="4"/>
  <c r="J36" i="4"/>
  <c r="J37" i="4"/>
  <c r="I38" i="3"/>
  <c r="I43" i="4"/>
  <c r="I35" i="4"/>
  <c r="I36" i="4"/>
  <c r="I37" i="4"/>
  <c r="H35" i="4"/>
  <c r="H36" i="4"/>
  <c r="H37" i="4"/>
  <c r="H43" i="4"/>
  <c r="H38" i="3"/>
  <c r="G38" i="3"/>
  <c r="G35" i="4"/>
  <c r="G36" i="4"/>
  <c r="G37" i="4"/>
  <c r="G43" i="4"/>
  <c r="F35" i="4"/>
  <c r="F36" i="4"/>
  <c r="F37" i="4"/>
  <c r="F43" i="4"/>
  <c r="F38" i="3"/>
  <c r="E35" i="4"/>
  <c r="E36" i="4"/>
  <c r="E37" i="4"/>
  <c r="E43" i="4"/>
  <c r="E38" i="3"/>
  <c r="B3" i="3"/>
  <c r="D35" i="4"/>
  <c r="D36" i="4"/>
  <c r="D37" i="4"/>
  <c r="D38" i="3"/>
  <c r="D43" i="4"/>
  <c r="L17" i="4" l="1"/>
  <c r="K17" i="4"/>
  <c r="J17" i="4"/>
  <c r="I17" i="4"/>
  <c r="H17" i="4"/>
  <c r="G17" i="4"/>
  <c r="F17" i="4"/>
  <c r="E17" i="4"/>
  <c r="D17" i="4"/>
  <c r="Q17" i="4" s="1"/>
  <c r="P15" i="4"/>
  <c r="P25" i="4" s="1"/>
  <c r="P16" i="4"/>
  <c r="O15" i="4"/>
  <c r="O16" i="4"/>
  <c r="N15" i="4"/>
  <c r="N25" i="4" s="1"/>
  <c r="N16" i="4"/>
  <c r="M15" i="4"/>
  <c r="M16" i="4"/>
  <c r="L15" i="4"/>
  <c r="L16" i="4"/>
  <c r="K15" i="4"/>
  <c r="K16" i="4"/>
  <c r="J15" i="4"/>
  <c r="J16" i="4"/>
  <c r="I15" i="4"/>
  <c r="I16" i="4"/>
  <c r="H15" i="4"/>
  <c r="H16" i="4"/>
  <c r="G15" i="4"/>
  <c r="G25" i="4" s="1"/>
  <c r="G16" i="4"/>
  <c r="F15" i="4"/>
  <c r="F16" i="4"/>
  <c r="E15" i="4"/>
  <c r="E16" i="4"/>
  <c r="D15" i="4"/>
  <c r="D16" i="4"/>
  <c r="E25" i="4" l="1"/>
  <c r="Q16" i="4"/>
  <c r="I25" i="4"/>
  <c r="P40" i="4"/>
  <c r="P26" i="4"/>
  <c r="N26" i="4"/>
  <c r="N40" i="4"/>
  <c r="G26" i="4"/>
  <c r="G40" i="4"/>
  <c r="Q15" i="4"/>
  <c r="D25" i="4"/>
  <c r="O25" i="4"/>
  <c r="M25" i="4"/>
  <c r="L25" i="4"/>
  <c r="K25" i="4"/>
  <c r="J25" i="4"/>
  <c r="H25" i="4"/>
  <c r="F25" i="4"/>
  <c r="E26" i="4" l="1"/>
  <c r="E40" i="4"/>
  <c r="I26" i="4"/>
  <c r="I40" i="4"/>
  <c r="D26" i="4"/>
  <c r="D40" i="4"/>
  <c r="Q25" i="4"/>
  <c r="O26" i="4"/>
  <c r="O40" i="4"/>
  <c r="M40" i="4"/>
  <c r="M26" i="4"/>
  <c r="L40" i="4"/>
  <c r="L26" i="4"/>
  <c r="K40" i="4"/>
  <c r="K26" i="4"/>
  <c r="J40" i="4"/>
  <c r="J26" i="4"/>
  <c r="H40" i="4"/>
  <c r="H26" i="4"/>
  <c r="F40" i="4"/>
  <c r="F26" i="4"/>
  <c r="Q26" i="4" l="1"/>
  <c r="D27" i="4"/>
  <c r="D42" i="4"/>
  <c r="D41" i="4"/>
  <c r="D30" i="4" l="1"/>
  <c r="D39" i="3"/>
  <c r="D41" i="3" s="1"/>
  <c r="E8" i="4"/>
  <c r="E27" i="4" s="1"/>
  <c r="D31" i="4"/>
  <c r="D29" i="4"/>
  <c r="F47" i="3"/>
  <c r="F46" i="3"/>
  <c r="F48" i="3"/>
  <c r="E42" i="4"/>
  <c r="F42" i="4" s="1"/>
  <c r="G42" i="4" s="1"/>
  <c r="H42" i="4" s="1"/>
  <c r="I42" i="4" s="1"/>
  <c r="J42" i="4" s="1"/>
  <c r="K42" i="4" s="1"/>
  <c r="L42" i="4" s="1"/>
  <c r="M42" i="4" s="1"/>
  <c r="E41" i="4"/>
  <c r="N42" i="4" l="1"/>
  <c r="O42" i="4" s="1"/>
  <c r="P42" i="4" s="1"/>
  <c r="F49" i="3" s="1"/>
  <c r="F45" i="3"/>
  <c r="D40" i="3"/>
  <c r="E30" i="4"/>
  <c r="E40" i="3" s="1"/>
  <c r="E29" i="4"/>
  <c r="E31" i="4"/>
  <c r="F8" i="4"/>
  <c r="F27" i="4" s="1"/>
  <c r="E39" i="3"/>
  <c r="E41" i="3" s="1"/>
  <c r="F41" i="4"/>
  <c r="G41" i="4" s="1"/>
  <c r="H41" i="4" s="1"/>
  <c r="I41" i="4" s="1"/>
  <c r="J41" i="4" s="1"/>
  <c r="K41" i="4" s="1"/>
  <c r="L41" i="4" s="1"/>
  <c r="M41" i="4" s="1"/>
  <c r="N41" i="4" s="1"/>
  <c r="O41" i="4" s="1"/>
  <c r="P41" i="4" s="1"/>
  <c r="D49" i="3" s="1"/>
  <c r="D45" i="3"/>
  <c r="D48" i="3"/>
  <c r="D47" i="3"/>
  <c r="D46" i="3"/>
  <c r="F30" i="4" l="1"/>
  <c r="F29" i="4"/>
  <c r="F31" i="4"/>
  <c r="G8" i="4"/>
  <c r="G27" i="4" s="1"/>
  <c r="F39" i="3"/>
  <c r="F41" i="3" s="1"/>
  <c r="F40" i="3" l="1"/>
  <c r="G30" i="4"/>
  <c r="G29" i="4"/>
  <c r="G31" i="4"/>
  <c r="G39" i="3"/>
  <c r="G41" i="3" s="1"/>
  <c r="H8" i="4"/>
  <c r="H27" i="4" s="1"/>
  <c r="H30" i="4" l="1"/>
  <c r="H29" i="4"/>
  <c r="H31" i="4"/>
  <c r="I8" i="4"/>
  <c r="I27" i="4" s="1"/>
  <c r="H39" i="3"/>
  <c r="H41" i="3" s="1"/>
  <c r="G40" i="3"/>
  <c r="I30" i="4" l="1"/>
  <c r="I40" i="3" s="1"/>
  <c r="I39" i="3"/>
  <c r="I41" i="3" s="1"/>
  <c r="I29" i="4"/>
  <c r="I31" i="4"/>
  <c r="J8" i="4"/>
  <c r="J27" i="4" s="1"/>
  <c r="H40" i="3"/>
  <c r="J30" i="4" l="1"/>
  <c r="J40" i="3" s="1"/>
  <c r="J29" i="4"/>
  <c r="J31" i="4"/>
  <c r="K8" i="4"/>
  <c r="K27" i="4" s="1"/>
  <c r="J39" i="3"/>
  <c r="J41" i="3" s="1"/>
  <c r="K30" i="4" l="1"/>
  <c r="K40" i="3" s="1"/>
  <c r="K29" i="4"/>
  <c r="K31" i="4"/>
  <c r="L8" i="4"/>
  <c r="L27" i="4" s="1"/>
  <c r="K39" i="3"/>
  <c r="K41" i="3" s="1"/>
  <c r="L30" i="4" l="1"/>
  <c r="L40" i="3" s="1"/>
  <c r="L29" i="4"/>
  <c r="L31" i="4"/>
  <c r="M8" i="4"/>
  <c r="M27" i="4" s="1"/>
  <c r="L39" i="3"/>
  <c r="L41" i="3" s="1"/>
  <c r="M30" i="4" l="1"/>
  <c r="M40" i="3" s="1"/>
  <c r="M29" i="4"/>
  <c r="M31" i="4"/>
  <c r="M39" i="3"/>
  <c r="M41" i="3" s="1"/>
  <c r="N8" i="4"/>
  <c r="N27" i="4" s="1"/>
  <c r="N30" i="4" l="1"/>
  <c r="N40" i="3" s="1"/>
  <c r="N29" i="4"/>
  <c r="N31" i="4"/>
  <c r="N39" i="3"/>
  <c r="N41" i="3" s="1"/>
  <c r="O8" i="4"/>
  <c r="O27" i="4" s="1"/>
  <c r="O30" i="4" l="1"/>
  <c r="O40" i="3" s="1"/>
  <c r="O29" i="4"/>
  <c r="O31" i="4"/>
  <c r="P8" i="4"/>
  <c r="P27" i="4" s="1"/>
  <c r="O39" i="3"/>
  <c r="O41" i="3" s="1"/>
  <c r="E8" i="3" l="1"/>
  <c r="B8" i="3"/>
  <c r="D24" i="5"/>
  <c r="D5" i="5" s="1"/>
  <c r="P30" i="4"/>
  <c r="Q27" i="4"/>
  <c r="P39" i="3"/>
  <c r="P41" i="3" s="1"/>
  <c r="P29" i="4"/>
  <c r="P31" i="4"/>
  <c r="K8" i="3" s="1"/>
  <c r="N8" i="3"/>
  <c r="D13" i="1" l="1"/>
  <c r="B9" i="3"/>
  <c r="B15" i="3"/>
  <c r="B13" i="3"/>
  <c r="E5" i="5"/>
  <c r="E13" i="1"/>
  <c r="B12" i="3"/>
  <c r="N9" i="3"/>
  <c r="C5" i="3"/>
  <c r="E5" i="3" s="1"/>
  <c r="B14" i="3"/>
  <c r="E9" i="3"/>
  <c r="H9" i="3"/>
  <c r="K9" i="3"/>
  <c r="H8" i="3"/>
  <c r="P4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Ivanka Menken</author>
  </authors>
  <commentList>
    <comment ref="B9" authorId="0" shapeId="0" xr:uid="{00000000-0006-0000-0100-000001000000}">
      <text>
        <r>
          <rPr>
            <sz val="10"/>
            <color rgb="FF1B2230"/>
            <rFont val="Aptos"/>
            <family val="2"/>
          </rPr>
          <t>Cleared funds: money that has landed and can be spent today. Leave out undeposited cheques and receipts you are still waiting for.</t>
        </r>
      </text>
    </comment>
    <comment ref="B10" authorId="0" shapeId="0" xr:uid="{00000000-0006-0000-0100-000002000000}">
      <text>
        <r>
          <rPr>
            <sz val="10"/>
            <color rgb="FF1B2230"/>
            <rFont val="Aptos"/>
            <family val="2"/>
          </rPr>
          <t>Your own floor, not a benchmark. Any week that closes below it turns amber on the Dashboard, and below zero turns red.</t>
        </r>
      </text>
    </comment>
    <comment ref="B14" authorId="0" shapeId="0" xr:uid="{00000000-0006-0000-0100-000003000000}">
      <text>
        <r>
          <rPr>
            <sz val="10"/>
            <color rgb="FF1B2230"/>
            <rFont val="Aptos"/>
            <family val="2"/>
          </rPr>
          <t>Gross wages: what staff earn before PAYG withholding is taken out. Super is added on top, below.</t>
        </r>
      </text>
    </comment>
    <comment ref="B17" authorId="0" shapeId="0" xr:uid="{00000000-0006-0000-0100-000004000000}">
      <text>
        <r>
          <rPr>
            <sz val="10"/>
            <color rgb="FF1B2230"/>
            <rFont val="Aptos"/>
            <family val="2"/>
          </rPr>
          <t>PAYG withholding: the tax you hold back from wages and pay to the ATO. Staff receive gross wages less this amount.</t>
        </r>
      </text>
    </comment>
    <comment ref="B18" authorId="0" shapeId="0" xr:uid="{00000000-0006-0000-0100-000005000000}">
      <text>
        <r>
          <rPr>
            <sz val="10"/>
            <color rgb="FF1B2230"/>
            <rFont val="Aptos"/>
            <family val="2"/>
          </rPr>
          <t>Super guarantee is 12%. Super timing rules have changed: Payday Super applies from 1 July 2026, so super is paid with wages. This workbook puts super in the same week as each pay run. Check the current rules with your accountant.</t>
        </r>
      </text>
    </comment>
    <comment ref="B19" authorId="0" shapeId="0" xr:uid="{00000000-0006-0000-0100-000006000000}">
      <text>
        <r>
          <rPr>
            <sz val="10"/>
            <color rgb="FF1B2230"/>
            <rFont val="Aptos"/>
            <family val="2"/>
          </rPr>
          <t>Payroll tax is a state tax. Rates and thresholds vary by state and change. Enter your own effective rate (payroll tax paid divided by wages plus super), or 0 if you are under the threshold.</t>
        </r>
      </text>
    </comment>
    <comment ref="B21" authorId="0" shapeId="0" xr:uid="{00000000-0006-0000-0100-000007000000}">
      <text>
        <r>
          <rPr>
            <sz val="10"/>
            <color rgb="FF1B2230"/>
            <rFont val="Aptos"/>
            <family val="2"/>
          </rPr>
          <t>Used only for the weeks of payroll covered measure. Leave blank and the workbook works it out from the payroll settings above.</t>
        </r>
      </text>
    </comment>
    <comment ref="B24" authorId="0" shapeId="0" xr:uid="{00000000-0006-0000-0100-000008000000}">
      <text>
        <r>
          <rPr>
            <sz val="10"/>
            <color rgb="FF1B2230"/>
            <rFont val="Aptos"/>
            <family val="2"/>
          </rPr>
          <t>A haircut is a straight cut to what customers pay. 10% means every customer receipt is 10% lower.</t>
        </r>
      </text>
    </comment>
    <comment ref="B25" authorId="0" shapeId="0" xr:uid="{00000000-0006-0000-0100-000009000000}">
      <text>
        <r>
          <rPr>
            <sz val="10"/>
            <color rgb="FF1B2230"/>
            <rFont val="Aptos"/>
            <family val="2"/>
          </rPr>
          <t>A delay moves each customer receipt later. Receipts pushed past week 13 drop out of the view, and nothing new arrives in the first weeks, so it is a stress test.</t>
        </r>
      </text>
    </comment>
    <comment ref="B31" authorId="0" shapeId="0" xr:uid="{00000000-0006-0000-0100-00000A000000}">
      <text>
        <r>
          <rPr>
            <sz val="10"/>
            <color rgb="FF1B2230"/>
            <rFont val="Aptos"/>
            <family val="2"/>
          </rPr>
          <t>The base case. Count invoices already issued and work you are sure of, in the week you expect the money. The Downside scenario cuts and delays this row.</t>
        </r>
      </text>
    </comment>
    <comment ref="B36" authorId="0" shapeId="0" xr:uid="{00000000-0006-0000-0100-00000B000000}">
      <text>
        <r>
          <rPr>
            <sz val="10"/>
            <color rgb="FF1B2230"/>
            <rFont val="Aptos"/>
            <family val="2"/>
          </rPr>
          <t>PAYG withholding is held back from wages on pay day and paid to the ATO later, monthly or quarterly. Put each payment in the week it leaves the bank.</t>
        </r>
      </text>
    </comment>
    <comment ref="B40" authorId="0" shapeId="0" xr:uid="{00000000-0006-0000-0100-00000C000000}">
      <text>
        <r>
          <rPr>
            <sz val="10"/>
            <color rgb="FF1B2230"/>
            <rFont val="Aptos"/>
            <family val="2"/>
          </rPr>
          <t>Your BAS payment: GST collected less GST credits, plus any PAYG instalment. Put it in the week it leaves the bank. Your bookkeeper can give you the figure.</t>
        </r>
      </text>
    </comment>
  </commentList>
</comments>
</file>

<file path=xl/sharedStrings.xml><?xml version="1.0" encoding="utf-8"?>
<sst xmlns="http://schemas.openxmlformats.org/spreadsheetml/2006/main" count="282" uniqueCount="253">
  <si>
    <t>FREE TEMPLATE FOR FOUNDERS</t>
  </si>
  <si>
    <t>13-Week Cash Flow Template</t>
  </si>
  <si>
    <t>A rolling 13-week view of cash, receipts and payments by type, weeks of payroll covered and a downside test.</t>
  </si>
  <si>
    <t>Version</t>
  </si>
  <si>
    <t>2.0, 21 October 2026</t>
  </si>
  <si>
    <t>Author</t>
  </si>
  <si>
    <t>Ivanka Menken, Strategic Mentor, https://ivankamenken.com</t>
  </si>
  <si>
    <t>Template page</t>
  </si>
  <si>
    <t>https://ivankamenken.com/templates/13-week-cash-flow-template</t>
  </si>
  <si>
    <t>Works in</t>
  </si>
  <si>
    <t>Microsoft Excel, Google Sheets and Apple Numbers. No macros, no links to other files, nothing locked.</t>
  </si>
  <si>
    <t>WORKBOOK STATUS</t>
  </si>
  <si>
    <t>HOW TO USE IT IN FIVE STEPS</t>
  </si>
  <si>
    <t>Read this Cover, then clear the example figures (the list is below) or type straight over them.</t>
  </si>
  <si>
    <t>On the Inputs sheet, set the week 1 start date, opening cash, your minimum cash and the payroll settings.</t>
  </si>
  <si>
    <t>Fill in thirteen weeks of cash in and cash out by type, in the week the money moves. Ask of every receipt: is it evidence or hope?</t>
  </si>
  <si>
    <t>Open the Checks sheet. Every row should read Pass; a Fix tells you what to change.</t>
  </si>
  <si>
    <t>Read the Dashboard. Switch the scenario to Downside on the Inputs sheet to stress test it. Once a week, roll it forward by a week.</t>
  </si>
  <si>
    <t>SHEET MAP (CLICK A NAME TO GO THERE)</t>
  </si>
  <si>
    <t>Sheet</t>
  </si>
  <si>
    <t>Role</t>
  </si>
  <si>
    <t>What it does</t>
  </si>
  <si>
    <t>Cover</t>
  </si>
  <si>
    <t>Start here</t>
  </si>
  <si>
    <t>This page: how to use the workbook, the sheet map and the overall status.</t>
  </si>
  <si>
    <t>Inputs</t>
  </si>
  <si>
    <t>Your figures</t>
  </si>
  <si>
    <t>Your figures: settings, payroll, the downside scenario and thirteen weeks of cash in and out.</t>
  </si>
  <si>
    <t>Dashboard</t>
  </si>
  <si>
    <t>Results</t>
  </si>
  <si>
    <t>Results: KPI tiles, status against your minimum, plain-English reading, two charts and Base against Downside.</t>
  </si>
  <si>
    <t>Cash flow</t>
  </si>
  <si>
    <t>Workings</t>
  </si>
  <si>
    <t>Week by week workings for the scenario shown: opening cash, cash in and out by type, closing cash and weeks of payroll covered.</t>
  </si>
  <si>
    <t>Checks</t>
  </si>
  <si>
    <t>Input completeness and sanity checks, each with a Pass or Fix flag, rolled up to the cover.</t>
  </si>
  <si>
    <t>COLOUR LEGEND</t>
  </si>
  <si>
    <t>Input</t>
  </si>
  <si>
    <t>Gold cells are yours to type in. Each one has a note on what to enter and rejects entries that make no sense.</t>
  </si>
  <si>
    <t>Calculated</t>
  </si>
  <si>
    <t>Grey cells are formulas. Click one to read how it is worked out. Nothing is locked, but there is no need to type here.</t>
  </si>
  <si>
    <t>Check: Pass</t>
  </si>
  <si>
    <t>Green means a check passes, or a result is on target.</t>
  </si>
  <si>
    <t>Check: Fix</t>
  </si>
  <si>
    <t>Red means a check needs a fix, or a result needs action. Amber means watch it.</t>
  </si>
  <si>
    <t>CLEAR THE EXAMPLE FIGURES</t>
  </si>
  <si>
    <t>Select each range below on the Inputs sheet and press Delete. The Dashboard shows zeros and the Checks sheet lists what is missing until your own figures are in.</t>
  </si>
  <si>
    <t>Inputs!D7</t>
  </si>
  <si>
    <t>Business name (optional).</t>
  </si>
  <si>
    <t>Inputs!D8:D11</t>
  </si>
  <si>
    <t>Week 1 start date, opening cash, your minimum and the scenario. Type your own date and figures; leave the scenario on Base.</t>
  </si>
  <si>
    <t>Inputs!D14:D17</t>
  </si>
  <si>
    <t>Gross wages per run, pay frequency, next pay day and PAYG withholding share.</t>
  </si>
  <si>
    <t>Inputs!D19:D21</t>
  </si>
  <si>
    <t>Payroll tax rate and day, and the optional weekly payroll override.</t>
  </si>
  <si>
    <t>Inputs!D24:D25</t>
  </si>
  <si>
    <t>Downside haircut and delay. Set your own, or 0 to switch the downside off.</t>
  </si>
  <si>
    <t>Inputs!D31:P33</t>
  </si>
  <si>
    <t>Cash in: customer receipts, other income, finance in.</t>
  </si>
  <si>
    <t>Inputs!D35:P41</t>
  </si>
  <si>
    <t>Cash out: other payroll, PAYG withholding paid, suppliers, rent, loans, GST and BAS, other payments.</t>
  </si>
  <si>
    <t>Keep the super guarantee at 12% unless your accountant says otherwise, and keep the payroll tax day if it matches yours.</t>
  </si>
  <si>
    <t>SCOPE</t>
  </si>
  <si>
    <t>General information, not financial, tax or accounting advice. The workbook is arithmetic on the figures you type in. Check figures with your accountant or bookkeeper before you act on them, and check the current rules with your accountant.</t>
  </si>
  <si>
    <t>Free to use and share inside your business. Please keep this credit: Ivanka Menken, Strategic Mentor, https://ivankamenken.com. Not for resale.</t>
  </si>
  <si>
    <t>Type your own figures in the gold cells. Every other sheet works from this one.</t>
  </si>
  <si>
    <t>EXAMPLE FIGURES are shown in the gold cells. Replace them with your own, or clear them first: the list is on the Cover.</t>
  </si>
  <si>
    <t>SETTINGS</t>
  </si>
  <si>
    <t>Business name (optional)</t>
  </si>
  <si>
    <t>Optional. It shows in the Dashboard title.</t>
  </si>
  <si>
    <t>Week 1 starts on (a Monday)</t>
  </si>
  <si>
    <t>Usually next Monday. Week labels and pay days follow from it.</t>
  </si>
  <si>
    <t>Opening cash in the bank</t>
  </si>
  <si>
    <t>Cleared funds across all business accounts.</t>
  </si>
  <si>
    <t>Minimum cash you want to hold</t>
  </si>
  <si>
    <t>Your own floor. Weeks below it are flagged.</t>
  </si>
  <si>
    <t>Scenario shown</t>
  </si>
  <si>
    <t>Base</t>
  </si>
  <si>
    <t>Base or Downside. The Dashboard and Cash flow sheets follow it.</t>
  </si>
  <si>
    <t>PAYROLL (WAGES, SUPER AND PAYROLL TAX ARE CALCULATED FROM THESE)</t>
  </si>
  <si>
    <t>Gross wages per pay run</t>
  </si>
  <si>
    <t>Before tax withheld and before super.</t>
  </si>
  <si>
    <t>Pay frequency</t>
  </si>
  <si>
    <t>Fortnightly</t>
  </si>
  <si>
    <t>Weekly, Fortnightly or Monthly.</t>
  </si>
  <si>
    <t>Next pay day</t>
  </si>
  <si>
    <t>Later pay days follow the frequency.</t>
  </si>
  <si>
    <t>PAYG withholding, average share of gross wages</t>
  </si>
  <si>
    <t>Splits gross wages into net pay now and tax paid later.</t>
  </si>
  <si>
    <t>Super guarantee rate</t>
  </si>
  <si>
    <t>12%. Paid with wages (Payday Super). Check the current rules with your accountant.</t>
  </si>
  <si>
    <t>Payroll tax, your effective rate</t>
  </si>
  <si>
    <t>Rates and thresholds vary by state. 0 if under the threshold.</t>
  </si>
  <si>
    <t>Payroll tax paid on this day of the month</t>
  </si>
  <si>
    <t>Day of the month, 1 to 28.</t>
  </si>
  <si>
    <t>One week of payroll (optional override)</t>
  </si>
  <si>
    <t>Leave blank to calculate it. Used for weeks of payroll covered.</t>
  </si>
  <si>
    <t>DOWNSIDE SCENARIO (USED WHEN THE SCENARIO ABOVE IS DOWNSIDE)</t>
  </si>
  <si>
    <t>Customer receipts lower by</t>
  </si>
  <si>
    <t>A straight cut to every customer receipt.</t>
  </si>
  <si>
    <t>Customer receipts later by (weeks)</t>
  </si>
  <si>
    <t>Receipts moved past week 13 drop out of view.</t>
  </si>
  <si>
    <t>WEEKLY CASH FIGURES (AS THEY HIT THE BANK, INCLUDING GST)</t>
  </si>
  <si>
    <t>Week</t>
  </si>
  <si>
    <t>Week 1</t>
  </si>
  <si>
    <t>Week 2</t>
  </si>
  <si>
    <t>Week 3</t>
  </si>
  <si>
    <t>Week 4</t>
  </si>
  <si>
    <t>Week 5</t>
  </si>
  <si>
    <t>Week 6</t>
  </si>
  <si>
    <t>Week 7</t>
  </si>
  <si>
    <t>Week 8</t>
  </si>
  <si>
    <t>Week 9</t>
  </si>
  <si>
    <t>Week 10</t>
  </si>
  <si>
    <t>Week 11</t>
  </si>
  <si>
    <t>Week 12</t>
  </si>
  <si>
    <t>Week 13</t>
  </si>
  <si>
    <t>13 weeks</t>
  </si>
  <si>
    <t>Week starting</t>
  </si>
  <si>
    <t>CASH IN</t>
  </si>
  <si>
    <t>Customer receipts (when you expect to be paid)</t>
  </si>
  <si>
    <t>Other income (refunds, grants, interest)</t>
  </si>
  <si>
    <t>Finance in (loan drawn, owner funds)</t>
  </si>
  <si>
    <t>CASH OUT (NET WAGES, SUPER AND PAYROLL TAX ARE CALCULATED ON THE CASH FLOW SHEET)</t>
  </si>
  <si>
    <t>Other payroll (bonuses, leave payouts, new starters)</t>
  </si>
  <si>
    <t>PAYG withholding paid to the ATO</t>
  </si>
  <si>
    <t>Suppliers and subcontractors</t>
  </si>
  <si>
    <t>Rent and occupancy</t>
  </si>
  <si>
    <t>Loan and finance repayments</t>
  </si>
  <si>
    <t>GST and BAS payments</t>
  </si>
  <si>
    <t>Other payments (insurance, software, drawings)</t>
  </si>
  <si>
    <t>Enter money out as positive numbers. Leave a cell blank or 0 when nothing moves that week. Amounts include GST, because GST passes through the bank.</t>
  </si>
  <si>
    <t>Need one week of payroll with super, payroll tax and workers compensation? https://ivankamenken.com/templates/payroll-cover-calculator</t>
  </si>
  <si>
    <t>STATUS</t>
  </si>
  <si>
    <t>LOWEST CLOSING CASH</t>
  </si>
  <si>
    <t>HEADROOM IN THE TIGHTEST WEEK</t>
  </si>
  <si>
    <t>LOWEST PAYROLL COVER</t>
  </si>
  <si>
    <t>WEEKS BELOW YOUR MINIMUM</t>
  </si>
  <si>
    <t>CLOSING CASH, WEEK 13</t>
  </si>
  <si>
    <t>WHAT THE NUMBERS SAY</t>
  </si>
  <si>
    <t>CLOSING CASH AGAINST YOUR MINIMUM</t>
  </si>
  <si>
    <t>CASH IN AND CASH OUT, WEEK BY WEEK</t>
  </si>
  <si>
    <t>WEEK BY WEEK</t>
  </si>
  <si>
    <t>Wk 1</t>
  </si>
  <si>
    <t>Wk 2</t>
  </si>
  <si>
    <t>Wk 3</t>
  </si>
  <si>
    <t>Wk 4</t>
  </si>
  <si>
    <t>Wk 5</t>
  </si>
  <si>
    <t>Wk 6</t>
  </si>
  <si>
    <t>Wk 7</t>
  </si>
  <si>
    <t>Wk 8</t>
  </si>
  <si>
    <t>Wk 9</t>
  </si>
  <si>
    <t>Wk 10</t>
  </si>
  <si>
    <t>Wk 11</t>
  </si>
  <si>
    <t>Wk 12</t>
  </si>
  <si>
    <t>Wk 13</t>
  </si>
  <si>
    <t>Closing cash</t>
  </si>
  <si>
    <t>Payroll cover, weeks</t>
  </si>
  <si>
    <t>Status</t>
  </si>
  <si>
    <t>BASE AND DOWNSIDE SIDE BY SIDE</t>
  </si>
  <si>
    <t>Measure</t>
  </si>
  <si>
    <t>Downside</t>
  </si>
  <si>
    <t>Read it as</t>
  </si>
  <si>
    <t>Lowest closing cash</t>
  </si>
  <si>
    <t>The deepest point in each scenario.</t>
  </si>
  <si>
    <t>Tightest week</t>
  </si>
  <si>
    <t>The week to plan for: a price, a payment term, a hire or a delay.</t>
  </si>
  <si>
    <t>Below your minimum</t>
  </si>
  <si>
    <t>How long the pressure lasts.</t>
  </si>
  <si>
    <t>Below zero</t>
  </si>
  <si>
    <t>Weeks that would need finance or a decision.</t>
  </si>
  <si>
    <t>Closing cash, week 13</t>
  </si>
  <si>
    <t>Where the quarter ends.</t>
  </si>
  <si>
    <t>General information, not financial, tax or accounting advice. Check figures with your accountant or bookkeeper. From Ivanka Menken, Strategic Mentor, https://ivankamenken.com</t>
  </si>
  <si>
    <t>13-week cash flow</t>
  </si>
  <si>
    <t>Opening cash</t>
  </si>
  <si>
    <t>Customer receipts (scenario shown)</t>
  </si>
  <si>
    <t>Other income</t>
  </si>
  <si>
    <t>Finance in</t>
  </si>
  <si>
    <t>Total cash in</t>
  </si>
  <si>
    <t>CASH OUT</t>
  </si>
  <si>
    <t>Net wages (gross wages less PAYG withheld)</t>
  </si>
  <si>
    <t>Super guarantee (paid with wages)</t>
  </si>
  <si>
    <t>Payroll tax</t>
  </si>
  <si>
    <t>Other payroll</t>
  </si>
  <si>
    <t>Other payments</t>
  </si>
  <si>
    <t>Total cash out</t>
  </si>
  <si>
    <t>Net cash flow for the week</t>
  </si>
  <si>
    <t>Your minimum cash</t>
  </si>
  <si>
    <t>Headroom over your minimum</t>
  </si>
  <si>
    <t>Weeks of payroll covered by closing cash</t>
  </si>
  <si>
    <t>Week status</t>
  </si>
  <si>
    <t>WORKINGS (EVERY FIGURE ABOVE IS BUILT FROM THESE ROWS)</t>
  </si>
  <si>
    <t>Week number</t>
  </si>
  <si>
    <t>Week ending</t>
  </si>
  <si>
    <t>Pay day falls in this week (1 = yes)</t>
  </si>
  <si>
    <t>Payroll tax paid this week (1 = yes)</t>
  </si>
  <si>
    <t>Customer receipts, base case</t>
  </si>
  <si>
    <t>Customer receipts, downside (lower and later)</t>
  </si>
  <si>
    <t>Cash flow other than customer receipts</t>
  </si>
  <si>
    <t>Closing cash, base case</t>
  </si>
  <si>
    <t>Closing cash, downside</t>
  </si>
  <si>
    <t>Week label for the charts</t>
  </si>
  <si>
    <t>PAYROLL FIGURES USED ABOVE</t>
  </si>
  <si>
    <t>Pay runs a year</t>
  </si>
  <si>
    <t>Gross wages a year</t>
  </si>
  <si>
    <t>One week of payroll, calculated</t>
  </si>
  <si>
    <t>One week of payroll, used for cover</t>
  </si>
  <si>
    <t>Payroll tax a month</t>
  </si>
  <si>
    <t>Days between pay days</t>
  </si>
  <si>
    <t>Pay day of the month (monthly pay)</t>
  </si>
  <si>
    <t>Pay days follow the pay frequency from the next pay day. Super is paid in the same week as wages (Payday Super applies from 1 July 2026; check the current rules with your accountant). Payroll tax is paid monthly on the day you set.</t>
  </si>
  <si>
    <t>Every check should read Pass before you rely on the Dashboard. A Fix tells you what to change.</t>
  </si>
  <si>
    <t>Checks that need a fix</t>
  </si>
  <si>
    <t>Checks in total</t>
  </si>
  <si>
    <t>#</t>
  </si>
  <si>
    <t>Check</t>
  </si>
  <si>
    <t>Result</t>
  </si>
  <si>
    <t>If it says Fix</t>
  </si>
  <si>
    <t>Week 1 start date is entered</t>
  </si>
  <si>
    <t>Type the Monday that week 1 starts in Inputs D8.</t>
  </si>
  <si>
    <t>Week 1 starts on a Monday</t>
  </si>
  <si>
    <t>Week labels read best from a Monday. Change Inputs D8 to a Monday.</t>
  </si>
  <si>
    <t>Opening cash is entered</t>
  </si>
  <si>
    <t>Type your cleared balance in Inputs D9. Use 0 if the account is empty.</t>
  </si>
  <si>
    <t>Opening cash is not negative (or the overdraft is intended)</t>
  </si>
  <si>
    <t>A negative opening balance means an overdraft. If that is right, leave it; the flag is a prompt to double check.</t>
  </si>
  <si>
    <t>Minimum cash is set above zero</t>
  </si>
  <si>
    <t>Set the balance you never want to go below in Inputs D10.</t>
  </si>
  <si>
    <t>Scenario is Base or Downside</t>
  </si>
  <si>
    <t>Pick Base or Downside from the list in Inputs D11.</t>
  </si>
  <si>
    <t>Payroll is entered (gross wages per pay run above zero)</t>
  </si>
  <si>
    <t>Missing payroll. Type gross wages for one pay run in Inputs D14, or weeks of payroll covered cannot be worked out.</t>
  </si>
  <si>
    <t>Pay frequency is Weekly, Fortnightly or Monthly</t>
  </si>
  <si>
    <t>Pick the frequency from the list in Inputs D15.</t>
  </si>
  <si>
    <t>Next pay day falls in the first pay cycle of the 13 weeks</t>
  </si>
  <si>
    <t>Type the first pay day on or after week 1 starts in Inputs D16. Later pay days follow from it.</t>
  </si>
  <si>
    <t>PAYG withholding share is between 0% and 60%</t>
  </si>
  <si>
    <t>Check Inputs D17 against your payroll report.</t>
  </si>
  <si>
    <t>Super guarantee rate is between 0% and 30%</t>
  </si>
  <si>
    <t>The super guarantee is 12%. Check Inputs D18.</t>
  </si>
  <si>
    <t>Payroll tax rate is between 0% and 10%</t>
  </si>
  <si>
    <t>Enter your effective rate in Inputs D19, or 0 if you are under your state threshold.</t>
  </si>
  <si>
    <t>Payroll tax day is a whole number from 1 to 28</t>
  </si>
  <si>
    <t>Type a day from 1 to 28 in Inputs D20.</t>
  </si>
  <si>
    <t>Downside settings are sensible (haircut 0% to 100%, delay 0 to 8 weeks)</t>
  </si>
  <si>
    <t>Check Inputs D24 and D25.</t>
  </si>
  <si>
    <t>No negative amounts in the weekly figures</t>
  </si>
  <si>
    <t>Enter money out as positive numbers. Look for a minus sign in Inputs D31:P41.</t>
  </si>
  <si>
    <t>Customer receipts are entered for at least one week</t>
  </si>
  <si>
    <t>Type the customer receipts you expect in Inputs row 31.</t>
  </si>
  <si>
    <t>The 13 weeks reconcile: opening cash plus cash in less cash out equals closing cash</t>
  </si>
  <si>
    <t>This checks the arithmetic. If it ever says Fix, a formula has been typed over: download a fresh copy.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</si>
</sst>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5" formatCode="d\ mmm\ yyyy"/>
    <numFmt numFmtId="166" formatCode="&quot;$&quot;#,##0;[Red]\-&quot;$&quot;#,##0;&quot;$&quot;0"/>
    <numFmt numFmtId="167" formatCode="0.0%;[Red]\-0.0%;0.0%"/>
    <numFmt numFmtId="168" formatCode="d\ mmm"/>
    <numFmt numFmtId="169" formatCode="0.0;[Red]\-0.0;0.0"/>
    <numFmt numFmtId="170" formatCode="&quot;$&quot;#,##0.00;[Red]\-&quot;$&quot;#,##0.00;&quot;$&quot;0.00"/>
    <numFmt numFmtId="171" formatCode="0.0&quot; wks&quot;"/>
    <numFmt numFmtId="172" formatCode="0&quot; of 13&quot;"/>
    <numFmt numFmtId="173" formatCode="&quot;$&quot;#,##0,&quot;k&quot;;\-&quot;$&quot;#,##0,&quot;k&quot;;&quot;$&quot;0"/>
    <numFmt numFmtId="174" formatCode="&quot;Week &quot;0"/>
    <numFmt numFmtId="175" formatCode="#,##0;[Red]\-#,##0;0"/>
  </numFmts>
  <fonts count="26" x14ac:knownFonts="1">
    <font>
      <sz val="10"/>
      <color rgb="FF1B2230"/>
      <name val="Aptos"/>
      <family val="2"/>
    </font>
    <font>
      <b/>
      <sz val="20"/>
      <color rgb="FF14213D"/>
      <name val="Aptos"/>
    </font>
    <font>
      <sz val="10"/>
      <color rgb="FF5F6673"/>
      <name val="Aptos"/>
    </font>
    <font>
      <i/>
      <sz val="9"/>
      <color rgb="FF7A5D17"/>
      <name val="Aptos"/>
    </font>
    <font>
      <b/>
      <sz val="10"/>
      <color rgb="FFFFFFFF"/>
      <name val="Aptos"/>
    </font>
    <font>
      <sz val="10"/>
      <color rgb="FF1B2230"/>
      <name val="Aptos"/>
    </font>
    <font>
      <sz val="10"/>
      <color rgb="FF14213D"/>
      <name val="Aptos"/>
    </font>
    <font>
      <sz val="9"/>
      <color rgb="FF5F6673"/>
      <name val="Aptos"/>
    </font>
    <font>
      <b/>
      <sz val="9"/>
      <color rgb="FF33415C"/>
      <name val="Aptos"/>
    </font>
    <font>
      <b/>
      <sz val="10"/>
      <color rgb="FF1B2230"/>
      <name val="Aptos"/>
    </font>
    <font>
      <i/>
      <sz val="9"/>
      <color rgb="FF5F6673"/>
      <name val="Aptos"/>
    </font>
    <font>
      <sz val="8"/>
      <color rgb="FF1B2230"/>
      <name val="Aptos"/>
    </font>
    <font>
      <sz val="9"/>
      <color rgb="FF1B2230"/>
      <name val="Aptos"/>
    </font>
    <font>
      <b/>
      <sz val="9"/>
      <color rgb="FF5F6673"/>
      <name val="Aptos"/>
    </font>
    <font>
      <b/>
      <sz val="11"/>
      <color rgb="FF1B2230"/>
      <name val="Aptos"/>
    </font>
    <font>
      <b/>
      <sz val="8"/>
      <color rgb="FF5F6673"/>
      <name val="Aptos"/>
    </font>
    <font>
      <b/>
      <sz val="22"/>
      <color rgb="FF14213D"/>
      <name val="Aptos"/>
    </font>
    <font>
      <i/>
      <sz val="10"/>
      <color rgb="FF5F6673"/>
      <name val="Aptos"/>
    </font>
    <font>
      <b/>
      <sz val="9"/>
      <color rgb="FFC9A84C"/>
      <name val="Aptos"/>
    </font>
    <font>
      <b/>
      <sz val="26"/>
      <color rgb="FFFFFFFF"/>
      <name val="Aptos"/>
    </font>
    <font>
      <sz val="11"/>
      <color rgb="FFDCE1EA"/>
      <name val="Aptos"/>
    </font>
    <font>
      <b/>
      <sz val="14"/>
      <color rgb="FF7A5D17"/>
      <name val="Aptos"/>
    </font>
    <font>
      <b/>
      <u/>
      <sz val="10"/>
      <color rgb="FF14213D"/>
      <name val="Aptos"/>
    </font>
    <font>
      <b/>
      <sz val="10"/>
      <color rgb="FF14213D"/>
      <name val="Aptos"/>
    </font>
    <font>
      <b/>
      <sz val="10"/>
      <color rgb="FF1E6B3C"/>
      <name val="Aptos"/>
    </font>
    <font>
      <b/>
      <sz val="10"/>
      <color rgb="FF9B1C1C"/>
      <name val="Aptos"/>
    </font>
  </fonts>
  <fills count="12">
    <fill>
      <patternFill patternType="none"/>
    </fill>
    <fill>
      <patternFill patternType="gray125"/>
    </fill>
    <fill>
      <patternFill patternType="solid">
        <fgColor rgb="FF14213D"/>
      </patternFill>
    </fill>
    <fill>
      <patternFill patternType="solid">
        <fgColor rgb="FFFDF4DF"/>
      </patternFill>
    </fill>
    <fill>
      <patternFill patternType="solid">
        <fgColor rgb="FFF2F3F5"/>
      </patternFill>
    </fill>
    <fill>
      <patternFill patternType="solid">
        <fgColor rgb="FFF7F7F4"/>
      </patternFill>
    </fill>
    <fill>
      <patternFill patternType="solid">
        <fgColor rgb="FFC9A84C"/>
      </patternFill>
    </fill>
    <fill>
      <patternFill patternType="solid">
        <fgColor rgb="FF8A919C"/>
      </patternFill>
    </fill>
    <fill>
      <patternFill patternType="solid">
        <fgColor rgb="FF2F4A7A"/>
      </patternFill>
    </fill>
    <fill>
      <patternFill patternType="solid">
        <fgColor rgb="FF2E7D4F"/>
      </patternFill>
    </fill>
    <fill>
      <patternFill patternType="solid">
        <fgColor rgb="FFE2F0E6"/>
      </patternFill>
    </fill>
    <fill>
      <patternFill patternType="solid">
        <fgColor rgb="FFF9E0E0"/>
      </patternFill>
    </fill>
  </fills>
  <borders count="10">
    <border>
      <left/>
      <right/>
      <top/>
      <bottom/>
      <diagonal/>
    </border>
    <border>
      <left/>
      <right/>
      <top/>
      <bottom style="medium">
        <color rgb="FFC9A84C"/>
      </bottom>
      <diagonal/>
    </border>
    <border>
      <left style="thin">
        <color rgb="FFC9A84C"/>
      </left>
      <right style="thin">
        <color rgb="FFC9A84C"/>
      </right>
      <top style="thin">
        <color rgb="FFC9A84C"/>
      </top>
      <bottom style="thin">
        <color rgb="FFC9A84C"/>
      </bottom>
      <diagonal/>
    </border>
    <border>
      <left/>
      <right/>
      <top/>
      <bottom style="thin">
        <color rgb="FF33415C"/>
      </bottom>
      <diagonal/>
    </border>
    <border>
      <left/>
      <right/>
      <top/>
      <bottom style="thin">
        <color rgb="FFD5D9E0"/>
      </bottom>
      <diagonal/>
    </border>
    <border>
      <left/>
      <right/>
      <top style="thin">
        <color rgb="FF33415C"/>
      </top>
      <bottom style="thin">
        <color rgb="FFD5D9E0"/>
      </bottom>
      <diagonal/>
    </border>
    <border>
      <left/>
      <right/>
      <top style="thick">
        <color rgb="FFC9A84C"/>
      </top>
      <bottom/>
      <diagonal/>
    </border>
    <border>
      <left/>
      <right/>
      <top style="thick">
        <color rgb="FFC9A84C"/>
      </top>
      <bottom/>
      <diagonal/>
    </border>
    <border>
      <left/>
      <right/>
      <top/>
      <bottom/>
      <diagonal/>
    </border>
    <border>
      <left style="thin">
        <color rgb="FFD5D9E0"/>
      </left>
      <right style="thin">
        <color rgb="FFD5D9E0"/>
      </right>
      <top style="thin">
        <color rgb="FFD5D9E0"/>
      </top>
      <bottom style="thin">
        <color rgb="FFD5D9E0"/>
      </bottom>
      <diagonal/>
    </border>
  </borders>
  <cellStyleXfs count="1">
    <xf numFmtId="0" fontId="0" fillId="0" borderId="0"/>
  </cellStyleXfs>
  <cellXfs count="101">
    <xf numFmtId="0" fontId="0" fillId="0" borderId="0" xfId="0"/>
    <xf numFmtId="0" fontId="0" fillId="2" borderId="0" xfId="0" applyFill="1"/>
    <xf numFmtId="0" fontId="18" fillId="2" borderId="0" xfId="0" applyFont="1" applyFill="1" applyAlignment="1">
      <alignment vertical="center"/>
    </xf>
    <xf numFmtId="0" fontId="19" fillId="2" borderId="0" xfId="0" applyFont="1" applyFill="1" applyAlignment="1">
      <alignment vertical="center"/>
    </xf>
    <xf numFmtId="0" fontId="20" fillId="2" borderId="0" xfId="0" applyFont="1" applyFill="1" applyAlignment="1">
      <alignment vertical="center"/>
    </xf>
    <xf numFmtId="0" fontId="0" fillId="0" borderId="6" xfId="0" applyBorder="1"/>
    <xf numFmtId="0" fontId="13" fillId="0" borderId="0" xfId="0" applyFont="1" applyAlignment="1">
      <alignment vertical="center"/>
    </xf>
    <xf numFmtId="0" fontId="5" fillId="0" borderId="0" xfId="0" applyFont="1" applyAlignment="1">
      <alignment vertical="center"/>
    </xf>
    <xf numFmtId="0" fontId="9" fillId="4" borderId="0" xfId="0" applyFont="1" applyFill="1" applyAlignment="1">
      <alignment horizontal="center" vertical="center"/>
    </xf>
    <xf numFmtId="0" fontId="4" fillId="2" borderId="0" xfId="0" applyFont="1" applyFill="1" applyAlignment="1">
      <alignment vertical="center" indent="1"/>
    </xf>
    <xf numFmtId="0" fontId="21" fillId="0" borderId="4" xfId="0" applyFont="1" applyBorder="1" applyAlignment="1">
      <alignment horizontal="center" vertical="center"/>
    </xf>
    <xf numFmtId="0" fontId="5" fillId="0" borderId="4" xfId="0" applyFont="1" applyBorder="1" applyAlignment="1">
      <alignment vertical="center" wrapText="1"/>
    </xf>
    <xf numFmtId="0" fontId="0" fillId="0" borderId="3" xfId="0" applyBorder="1"/>
    <xf numFmtId="0" fontId="8" fillId="0" borderId="3" xfId="0" applyFont="1" applyBorder="1" applyAlignment="1">
      <alignment horizontal="left" vertical="center" wrapText="1"/>
    </xf>
    <xf numFmtId="0" fontId="5" fillId="2" borderId="0" xfId="0" applyFont="1" applyFill="1" applyAlignment="1">
      <alignment vertical="center"/>
    </xf>
    <xf numFmtId="0" fontId="22" fillId="0" borderId="4" xfId="0" applyFont="1" applyBorder="1" applyAlignment="1">
      <alignment vertical="center" indent="1"/>
    </xf>
    <xf numFmtId="0" fontId="7" fillId="0" borderId="4" xfId="0" applyFont="1" applyBorder="1" applyAlignment="1">
      <alignment vertical="center"/>
    </xf>
    <xf numFmtId="0" fontId="5" fillId="6" borderId="0" xfId="0" applyFont="1" applyFill="1" applyAlignment="1">
      <alignment vertical="center"/>
    </xf>
    <xf numFmtId="0" fontId="5" fillId="8" borderId="0" xfId="0" applyFont="1" applyFill="1" applyAlignment="1">
      <alignment vertical="center"/>
    </xf>
    <xf numFmtId="0" fontId="5" fillId="7" borderId="0" xfId="0" applyFont="1" applyFill="1" applyAlignment="1">
      <alignment vertical="center"/>
    </xf>
    <xf numFmtId="0" fontId="5" fillId="9" borderId="0" xfId="0" applyFont="1" applyFill="1" applyAlignment="1">
      <alignment vertical="center"/>
    </xf>
    <xf numFmtId="0" fontId="23" fillId="3" borderId="2" xfId="0" applyFont="1" applyFill="1" applyBorder="1" applyAlignment="1">
      <alignment horizontal="center" vertical="center"/>
    </xf>
    <xf numFmtId="0" fontId="9" fillId="4" borderId="9" xfId="0" applyFont="1" applyFill="1" applyBorder="1" applyAlignment="1">
      <alignment horizontal="center" vertical="center"/>
    </xf>
    <xf numFmtId="0" fontId="24" fillId="10" borderId="9" xfId="0" applyFont="1" applyFill="1" applyBorder="1" applyAlignment="1">
      <alignment horizontal="center" vertical="center"/>
    </xf>
    <xf numFmtId="0" fontId="25" fillId="11" borderId="9" xfId="0" applyFont="1" applyFill="1" applyBorder="1" applyAlignment="1">
      <alignment horizontal="center" vertical="center"/>
    </xf>
    <xf numFmtId="0" fontId="23" fillId="0" borderId="4" xfId="0" applyFont="1" applyBorder="1" applyAlignment="1">
      <alignment vertical="center" indent="1"/>
    </xf>
    <xf numFmtId="0" fontId="1" fillId="0" borderId="0" xfId="0" applyFont="1"/>
    <xf numFmtId="0" fontId="2" fillId="0" borderId="1" xfId="0" applyFont="1" applyBorder="1" applyAlignment="1">
      <alignment vertical="top"/>
    </xf>
    <xf numFmtId="0" fontId="0" fillId="0" borderId="1" xfId="0" applyBorder="1"/>
    <xf numFmtId="0" fontId="3" fillId="0" borderId="0" xfId="0" applyFont="1" applyAlignment="1">
      <alignment vertical="center"/>
    </xf>
    <xf numFmtId="0" fontId="5" fillId="0" borderId="0" xfId="0" applyFont="1" applyAlignment="1">
      <alignment vertical="center" indent="1"/>
    </xf>
    <xf numFmtId="0" fontId="7" fillId="0" borderId="0" xfId="0" applyFont="1" applyAlignment="1">
      <alignment vertical="center"/>
    </xf>
    <xf numFmtId="165" fontId="6" fillId="3" borderId="2" xfId="0" applyNumberFormat="1" applyFont="1" applyFill="1" applyBorder="1" applyAlignment="1">
      <alignment horizontal="right" vertical="center"/>
    </xf>
    <xf numFmtId="166" fontId="6" fillId="3" borderId="2" xfId="0" applyNumberFormat="1" applyFont="1" applyFill="1" applyBorder="1" applyAlignment="1">
      <alignment horizontal="right" vertical="center"/>
    </xf>
    <xf numFmtId="0" fontId="6" fillId="3" borderId="2" xfId="0" applyFont="1" applyFill="1" applyBorder="1" applyAlignment="1">
      <alignment horizontal="center" vertical="center"/>
    </xf>
    <xf numFmtId="167" fontId="6" fillId="3" borderId="2" xfId="0" applyNumberFormat="1" applyFont="1" applyFill="1" applyBorder="1" applyAlignment="1">
      <alignment horizontal="right" vertical="center"/>
    </xf>
    <xf numFmtId="10" fontId="6" fillId="3" borderId="2" xfId="0" applyNumberFormat="1" applyFont="1" applyFill="1" applyBorder="1" applyAlignment="1">
      <alignment horizontal="right" vertical="center"/>
    </xf>
    <xf numFmtId="1" fontId="6" fillId="3" borderId="2" xfId="0" applyNumberFormat="1" applyFont="1" applyFill="1" applyBorder="1" applyAlignment="1">
      <alignment horizontal="right" vertical="center"/>
    </xf>
    <xf numFmtId="0" fontId="8" fillId="0" borderId="3" xfId="0" applyFont="1" applyBorder="1" applyAlignment="1">
      <alignment horizontal="right" vertical="center" wrapText="1"/>
    </xf>
    <xf numFmtId="0" fontId="7" fillId="0" borderId="0" xfId="0" applyFont="1" applyAlignment="1">
      <alignment vertical="center" indent="1"/>
    </xf>
    <xf numFmtId="168" fontId="7" fillId="0" borderId="4" xfId="0" applyNumberFormat="1" applyFont="1" applyBorder="1" applyAlignment="1">
      <alignment horizontal="right" vertical="center"/>
    </xf>
    <xf numFmtId="0" fontId="8" fillId="4" borderId="4" xfId="0" applyFont="1" applyFill="1" applyBorder="1" applyAlignment="1">
      <alignment vertical="center" indent="1"/>
    </xf>
    <xf numFmtId="0" fontId="0" fillId="4" borderId="4" xfId="0" applyFill="1" applyBorder="1"/>
    <xf numFmtId="166" fontId="9" fillId="4" borderId="4" xfId="0" applyNumberFormat="1" applyFont="1" applyFill="1" applyBorder="1" applyAlignment="1">
      <alignment horizontal="right" vertical="center"/>
    </xf>
    <xf numFmtId="0" fontId="10" fillId="0" borderId="0" xfId="0" applyFont="1" applyAlignment="1">
      <alignment vertical="center"/>
    </xf>
    <xf numFmtId="0" fontId="1" fillId="0" borderId="0" xfId="0" applyFont="1" applyAlignment="1">
      <alignment horizontal="left"/>
    </xf>
    <xf numFmtId="0" fontId="2" fillId="0" borderId="1" xfId="0" applyFont="1" applyBorder="1" applyAlignment="1">
      <alignment horizontal="left" vertical="center"/>
    </xf>
    <xf numFmtId="0" fontId="9" fillId="0" borderId="0" xfId="0" applyFont="1" applyAlignment="1">
      <alignment vertical="center"/>
    </xf>
    <xf numFmtId="173" fontId="9" fillId="4" borderId="4" xfId="0" applyNumberFormat="1" applyFont="1" applyFill="1" applyBorder="1" applyAlignment="1">
      <alignment horizontal="right" vertical="center"/>
    </xf>
    <xf numFmtId="169" fontId="5" fillId="4" borderId="4" xfId="0" applyNumberFormat="1" applyFont="1" applyFill="1" applyBorder="1" applyAlignment="1">
      <alignment horizontal="right" vertical="center"/>
    </xf>
    <xf numFmtId="0" fontId="11" fillId="4" borderId="4" xfId="0" applyFont="1" applyFill="1" applyBorder="1" applyAlignment="1">
      <alignment horizontal="center" vertical="center"/>
    </xf>
    <xf numFmtId="166" fontId="5" fillId="4" borderId="4" xfId="0" applyNumberFormat="1" applyFont="1" applyFill="1" applyBorder="1" applyAlignment="1">
      <alignment horizontal="right" vertical="center"/>
    </xf>
    <xf numFmtId="0" fontId="9" fillId="0" borderId="0" xfId="0" applyFont="1" applyAlignment="1">
      <alignment vertical="center" indent="1"/>
    </xf>
    <xf numFmtId="0" fontId="9" fillId="0" borderId="5" xfId="0" applyFont="1" applyBorder="1" applyAlignment="1">
      <alignment vertical="center" indent="1"/>
    </xf>
    <xf numFmtId="0" fontId="0" fillId="0" borderId="5" xfId="0" applyBorder="1"/>
    <xf numFmtId="166" fontId="9" fillId="4" borderId="5" xfId="0" applyNumberFormat="1" applyFont="1" applyFill="1" applyBorder="1" applyAlignment="1">
      <alignment horizontal="right" vertical="center"/>
    </xf>
    <xf numFmtId="0" fontId="2" fillId="0" borderId="0" xfId="0" applyFont="1" applyAlignment="1">
      <alignment vertical="center" indent="1"/>
    </xf>
    <xf numFmtId="166" fontId="2" fillId="4" borderId="4" xfId="0" applyNumberFormat="1" applyFont="1" applyFill="1" applyBorder="1" applyAlignment="1">
      <alignment horizontal="right" vertical="center"/>
    </xf>
    <xf numFmtId="169" fontId="9" fillId="4" borderId="4" xfId="0" applyNumberFormat="1" applyFont="1" applyFill="1" applyBorder="1" applyAlignment="1">
      <alignment horizontal="right" vertical="center"/>
    </xf>
    <xf numFmtId="1" fontId="7" fillId="0" borderId="0" xfId="0" applyNumberFormat="1" applyFont="1" applyAlignment="1">
      <alignment horizontal="right" vertical="center"/>
    </xf>
    <xf numFmtId="168" fontId="7" fillId="4" borderId="4" xfId="0" applyNumberFormat="1" applyFont="1" applyFill="1" applyBorder="1" applyAlignment="1">
      <alignment horizontal="right" vertical="center"/>
    </xf>
    <xf numFmtId="1" fontId="12" fillId="4" borderId="4" xfId="0" applyNumberFormat="1" applyFont="1" applyFill="1" applyBorder="1" applyAlignment="1">
      <alignment horizontal="right" vertical="center"/>
    </xf>
    <xf numFmtId="0" fontId="7" fillId="4" borderId="4" xfId="0" applyFont="1" applyFill="1" applyBorder="1" applyAlignment="1">
      <alignment horizontal="right" vertical="center"/>
    </xf>
    <xf numFmtId="1" fontId="5" fillId="4" borderId="4" xfId="0" applyNumberFormat="1" applyFont="1" applyFill="1" applyBorder="1" applyAlignment="1">
      <alignment horizontal="right" vertical="center"/>
    </xf>
    <xf numFmtId="170" fontId="5" fillId="4" borderId="4" xfId="0" applyNumberFormat="1" applyFont="1" applyFill="1" applyBorder="1" applyAlignment="1">
      <alignment horizontal="right" vertical="center"/>
    </xf>
    <xf numFmtId="175" fontId="9" fillId="4" borderId="4" xfId="0" applyNumberFormat="1" applyFont="1" applyFill="1" applyBorder="1" applyAlignment="1">
      <alignment horizontal="right" vertical="center"/>
    </xf>
    <xf numFmtId="0" fontId="9" fillId="0" borderId="0" xfId="0" applyFont="1" applyAlignment="1">
      <alignment horizontal="left" vertical="center"/>
    </xf>
    <xf numFmtId="175" fontId="5" fillId="4" borderId="4" xfId="0" applyNumberFormat="1" applyFont="1" applyFill="1" applyBorder="1" applyAlignment="1">
      <alignment horizontal="right" vertical="center"/>
    </xf>
    <xf numFmtId="0" fontId="8" fillId="0" borderId="3" xfId="0" applyFont="1" applyBorder="1" applyAlignment="1">
      <alignment horizontal="center" vertical="center" wrapText="1"/>
    </xf>
    <xf numFmtId="0" fontId="7" fillId="0" borderId="4" xfId="0" applyFont="1" applyBorder="1" applyAlignment="1">
      <alignment horizontal="center" vertical="center"/>
    </xf>
    <xf numFmtId="0" fontId="9" fillId="4" borderId="4" xfId="0" applyFont="1" applyFill="1" applyBorder="1" applyAlignment="1">
      <alignment horizontal="center" vertical="center"/>
    </xf>
    <xf numFmtId="0" fontId="7" fillId="0" borderId="4" xfId="0" applyFont="1" applyBorder="1" applyAlignment="1">
      <alignment vertical="center" wrapText="1"/>
    </xf>
    <xf numFmtId="0" fontId="5" fillId="0" borderId="0" xfId="0" applyFont="1" applyAlignment="1">
      <alignment vertical="center" wrapText="1"/>
    </xf>
    <xf numFmtId="0" fontId="0" fillId="0" borderId="0" xfId="0"/>
    <xf numFmtId="0" fontId="5" fillId="0" borderId="4" xfId="0" applyFont="1" applyBorder="1" applyAlignment="1">
      <alignment vertical="center" wrapText="1"/>
    </xf>
    <xf numFmtId="0" fontId="0" fillId="0" borderId="4" xfId="0" applyBorder="1"/>
    <xf numFmtId="0" fontId="5" fillId="0" borderId="0" xfId="0" applyFont="1" applyAlignment="1">
      <alignment vertical="center" wrapText="1" indent="1"/>
    </xf>
    <xf numFmtId="0" fontId="5" fillId="0" borderId="4" xfId="0" applyFont="1" applyBorder="1" applyAlignment="1">
      <alignment vertical="center" wrapText="1" indent="1"/>
    </xf>
    <xf numFmtId="0" fontId="8" fillId="0" borderId="3" xfId="0" applyFont="1" applyBorder="1" applyAlignment="1">
      <alignment horizontal="left" vertical="center" wrapText="1"/>
    </xf>
    <xf numFmtId="0" fontId="0" fillId="0" borderId="3" xfId="0" applyBorder="1"/>
    <xf numFmtId="0" fontId="5" fillId="0" borderId="0" xfId="0" applyFont="1" applyAlignment="1">
      <alignment horizontal="left" vertical="center" wrapText="1" indent="1"/>
    </xf>
    <xf numFmtId="0" fontId="10" fillId="0" borderId="0" xfId="0" applyFont="1" applyAlignment="1">
      <alignment vertical="center" wrapText="1"/>
    </xf>
    <xf numFmtId="0" fontId="6" fillId="3" borderId="2" xfId="0" applyFont="1" applyFill="1" applyBorder="1" applyAlignment="1">
      <alignment horizontal="left" vertical="center"/>
    </xf>
    <xf numFmtId="0" fontId="0" fillId="3" borderId="2" xfId="0" applyFill="1" applyBorder="1"/>
    <xf numFmtId="0" fontId="5" fillId="0" borderId="0" xfId="0" applyFont="1" applyAlignment="1">
      <alignment vertical="center"/>
    </xf>
    <xf numFmtId="166" fontId="16" fillId="5" borderId="8" xfId="0" applyNumberFormat="1" applyFont="1" applyFill="1" applyBorder="1" applyAlignment="1">
      <alignment horizontal="left" vertical="center" indent="1"/>
    </xf>
    <xf numFmtId="0" fontId="14" fillId="4" borderId="0" xfId="0" applyFont="1" applyFill="1" applyAlignment="1">
      <alignment horizontal="center" vertical="center"/>
    </xf>
    <xf numFmtId="0" fontId="7" fillId="0" borderId="0" xfId="0" applyFont="1" applyAlignment="1">
      <alignment vertical="center"/>
    </xf>
    <xf numFmtId="0" fontId="7" fillId="5" borderId="4" xfId="0" applyFont="1" applyFill="1" applyBorder="1" applyAlignment="1">
      <alignment horizontal="left" vertical="top" wrapText="1" indent="1"/>
    </xf>
    <xf numFmtId="174" fontId="5" fillId="4" borderId="4" xfId="0" applyNumberFormat="1" applyFont="1" applyFill="1" applyBorder="1" applyAlignment="1">
      <alignment horizontal="right" vertical="center"/>
    </xf>
    <xf numFmtId="166" fontId="5" fillId="4" borderId="4" xfId="0" applyNumberFormat="1" applyFont="1" applyFill="1" applyBorder="1" applyAlignment="1">
      <alignment horizontal="right" vertical="center"/>
    </xf>
    <xf numFmtId="0" fontId="15" fillId="5" borderId="6" xfId="0" applyFont="1" applyFill="1" applyBorder="1" applyAlignment="1">
      <alignment indent="1"/>
    </xf>
    <xf numFmtId="0" fontId="0" fillId="0" borderId="7" xfId="0" applyBorder="1"/>
    <xf numFmtId="0" fontId="9" fillId="0" borderId="0" xfId="0" applyFont="1" applyAlignment="1">
      <alignment vertical="center"/>
    </xf>
    <xf numFmtId="172" fontId="16" fillId="5" borderId="8" xfId="0" applyNumberFormat="1" applyFont="1" applyFill="1" applyBorder="1" applyAlignment="1">
      <alignment horizontal="left" vertical="center" indent="1"/>
    </xf>
    <xf numFmtId="172" fontId="5" fillId="4" borderId="4" xfId="0" applyNumberFormat="1" applyFont="1" applyFill="1" applyBorder="1" applyAlignment="1">
      <alignment horizontal="right" vertical="center"/>
    </xf>
    <xf numFmtId="0" fontId="10" fillId="0" borderId="0" xfId="0" applyFont="1" applyAlignment="1">
      <alignment vertical="top" wrapText="1"/>
    </xf>
    <xf numFmtId="171" fontId="16" fillId="5" borderId="8" xfId="0" applyNumberFormat="1" applyFont="1" applyFill="1" applyBorder="1" applyAlignment="1">
      <alignment horizontal="left" vertical="center" indent="1"/>
    </xf>
    <xf numFmtId="0" fontId="17" fillId="0" borderId="0" xfId="0" applyFont="1" applyAlignment="1">
      <alignment horizontal="left" vertical="center" wrapText="1" indent="1"/>
    </xf>
    <xf numFmtId="0" fontId="5" fillId="0" borderId="0" xfId="0" applyFont="1" applyAlignment="1">
      <alignment horizontal="left" vertical="center" indent="1"/>
    </xf>
    <xf numFmtId="0" fontId="8" fillId="0" borderId="3" xfId="0" applyFont="1" applyBorder="1" applyAlignment="1">
      <alignment horizontal="right" vertical="center" wrapText="1"/>
    </xf>
  </cellXfs>
  <cellStyles count="1">
    <cellStyle name="Normal" xfId="0" builtinId="0"/>
  </cellStyles>
  <dxfs count="20">
    <dxf>
      <font>
        <b/>
        <color rgb="FF9B1C1C"/>
        <name val="Aptos"/>
      </font>
      <fill>
        <patternFill patternType="solid">
          <fgColor rgb="FFF9E0E0"/>
        </patternFill>
      </fill>
    </dxf>
    <dxf>
      <font>
        <b/>
        <color rgb="FF1E6B3C"/>
        <name val="Aptos"/>
      </font>
      <fill>
        <patternFill patternType="solid">
          <fgColor rgb="FFE2F0E6"/>
        </patternFill>
      </fill>
    </dxf>
    <dxf>
      <font>
        <b/>
        <color rgb="FF9B1C1C"/>
        <name val="Aptos"/>
      </font>
      <fill>
        <patternFill patternType="solid">
          <fgColor rgb="FFF9E0E0"/>
        </patternFill>
      </fill>
    </dxf>
    <dxf>
      <font>
        <b/>
        <color rgb="FF1E6B3C"/>
        <name val="Aptos"/>
      </font>
      <fill>
        <patternFill patternType="solid">
          <fgColor rgb="FFE2F0E6"/>
        </patternFill>
      </fill>
    </dxf>
    <dxf>
      <font>
        <b/>
        <color rgb="FF9B1C1C"/>
        <name val="Aptos"/>
      </font>
      <fill>
        <patternFill patternType="solid">
          <fgColor rgb="FFF9E0E0"/>
        </patternFill>
      </fill>
    </dxf>
    <dxf>
      <font>
        <b/>
        <color rgb="FF7A4F00"/>
        <name val="Aptos"/>
      </font>
      <fill>
        <patternFill patternType="solid">
          <fgColor rgb="FFFFF0CC"/>
        </patternFill>
      </fill>
    </dxf>
    <dxf>
      <font>
        <b/>
        <color rgb="FF1E6B3C"/>
        <name val="Aptos"/>
      </font>
      <fill>
        <patternFill patternType="solid">
          <fgColor rgb="FFE2F0E6"/>
        </patternFill>
      </fill>
    </dxf>
    <dxf>
      <font>
        <b/>
        <color rgb="FF7A4F00"/>
        <name val="Aptos"/>
      </font>
      <fill>
        <patternFill patternType="solid">
          <fgColor rgb="FFFFF0CC"/>
        </patternFill>
      </fill>
    </dxf>
    <dxf>
      <font>
        <b/>
        <color rgb="FF9B1C1C"/>
        <name val="Aptos"/>
      </font>
      <fill>
        <patternFill patternType="solid">
          <fgColor rgb="FFF9E0E0"/>
        </patternFill>
      </fill>
    </dxf>
    <dxf>
      <font>
        <b/>
        <sz val="22"/>
        <color rgb="FF9B1C1C"/>
        <name val="Aptos"/>
      </font>
    </dxf>
    <dxf>
      <font>
        <b/>
        <color rgb="FF9B1C1C"/>
        <name val="Aptos"/>
      </font>
      <fill>
        <patternFill patternType="solid">
          <fgColor rgb="FFF9E0E0"/>
        </patternFill>
      </fill>
    </dxf>
    <dxf>
      <font>
        <b/>
        <color rgb="FF7A4F00"/>
        <name val="Aptos"/>
      </font>
      <fill>
        <patternFill patternType="solid">
          <fgColor rgb="FFFFF0CC"/>
        </patternFill>
      </fill>
    </dxf>
    <dxf>
      <font>
        <b/>
        <color rgb="FF1E6B3C"/>
        <name val="Aptos"/>
      </font>
      <fill>
        <patternFill patternType="solid">
          <fgColor rgb="FFE2F0E6"/>
        </patternFill>
      </fill>
    </dxf>
    <dxf>
      <font>
        <b/>
        <color rgb="FF9B1C1C"/>
        <name val="Aptos"/>
      </font>
      <fill>
        <patternFill patternType="solid">
          <fgColor rgb="FFF9E0E0"/>
        </patternFill>
      </fill>
    </dxf>
    <dxf>
      <font>
        <b/>
        <color rgb="FF7A4F00"/>
        <name val="Aptos"/>
      </font>
      <fill>
        <patternFill patternType="solid">
          <fgColor rgb="FFFFF0CC"/>
        </patternFill>
      </fill>
    </dxf>
    <dxf>
      <font>
        <b/>
        <color rgb="FF9B1C1C"/>
        <name val="Aptos"/>
      </font>
      <fill>
        <patternFill patternType="solid">
          <fgColor rgb="FFF9E0E0"/>
        </patternFill>
      </fill>
    </dxf>
    <dxf>
      <font>
        <b/>
        <color rgb="FF7A4F00"/>
        <name val="Aptos"/>
      </font>
      <fill>
        <patternFill patternType="solid">
          <fgColor rgb="FFFFF0CC"/>
        </patternFill>
      </fill>
    </dxf>
    <dxf>
      <font>
        <b/>
        <color rgb="FF1E6B3C"/>
        <name val="Aptos"/>
      </font>
      <fill>
        <patternFill patternType="solid">
          <fgColor rgb="FFE2F0E6"/>
        </patternFill>
      </fill>
    </dxf>
    <dxf>
      <font>
        <b/>
        <color rgb="FF9B1C1C"/>
        <name val="Aptos"/>
      </font>
      <fill>
        <patternFill patternType="solid">
          <fgColor rgb="FFF9E0E0"/>
        </patternFill>
      </fill>
    </dxf>
    <dxf>
      <font>
        <b/>
        <color rgb="FF1E6B3C"/>
        <name val="Aptos"/>
      </font>
      <fill>
        <patternFill patternType="solid">
          <fgColor rgb="FFE2F0E6"/>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autoTitleDeleted val="1"/>
    <c:plotArea>
      <c:layout/>
      <c:barChart>
        <c:barDir val="col"/>
        <c:grouping val="clustered"/>
        <c:varyColors val="0"/>
        <c:ser>
          <c:idx val="0"/>
          <c:order val="0"/>
          <c:tx>
            <c:v>Closing cash</c:v>
          </c:tx>
          <c:spPr>
            <a:solidFill>
              <a:srgbClr val="14213D"/>
            </a:solidFill>
            <a:ln>
              <a:solidFill>
                <a:srgbClr val="14213D"/>
              </a:solidFill>
              <a:prstDash val="solid"/>
            </a:ln>
          </c:spPr>
          <c:invertIfNegative val="0"/>
          <c:cat>
            <c:strRef>
              <c:f>'Cash flow'!$D$43:$P$43</c:f>
              <c:strCache>
                <c:ptCount val="13"/>
                <c:pt idx="0">
                  <c:v>26 Oct</c:v>
                </c:pt>
                <c:pt idx="1">
                  <c:v>2 Nov</c:v>
                </c:pt>
                <c:pt idx="2">
                  <c:v>9 Nov</c:v>
                </c:pt>
                <c:pt idx="3">
                  <c:v>16 Nov</c:v>
                </c:pt>
                <c:pt idx="4">
                  <c:v>23 Nov</c:v>
                </c:pt>
                <c:pt idx="5">
                  <c:v>30 Nov</c:v>
                </c:pt>
                <c:pt idx="6">
                  <c:v>7 Dec</c:v>
                </c:pt>
                <c:pt idx="7">
                  <c:v>14 Dec</c:v>
                </c:pt>
                <c:pt idx="8">
                  <c:v>21 Dec</c:v>
                </c:pt>
                <c:pt idx="9">
                  <c:v>28 Dec</c:v>
                </c:pt>
                <c:pt idx="10">
                  <c:v>4 Jan</c:v>
                </c:pt>
                <c:pt idx="11">
                  <c:v>11 Jan</c:v>
                </c:pt>
                <c:pt idx="12">
                  <c:v>18 Jan</c:v>
                </c:pt>
              </c:strCache>
            </c:strRef>
          </c:cat>
          <c:val>
            <c:numRef>
              <c:f>'Cash flow'!$D$27:$P$27</c:f>
              <c:numCache>
                <c:formatCode>"$"#,##0;[Red]\-"$"#,##0;"$"0</c:formatCode>
                <c:ptCount val="13"/>
                <c:pt idx="0">
                  <c:v>94000</c:v>
                </c:pt>
                <c:pt idx="1">
                  <c:v>124626.4</c:v>
                </c:pt>
                <c:pt idx="2">
                  <c:v>113726.39999999999</c:v>
                </c:pt>
                <c:pt idx="3">
                  <c:v>138846.39999999999</c:v>
                </c:pt>
                <c:pt idx="4">
                  <c:v>88646.399999999994</c:v>
                </c:pt>
                <c:pt idx="5">
                  <c:v>121846.39999999999</c:v>
                </c:pt>
                <c:pt idx="6">
                  <c:v>123772.79999999999</c:v>
                </c:pt>
                <c:pt idx="7">
                  <c:v>144072.79999999999</c:v>
                </c:pt>
                <c:pt idx="8">
                  <c:v>94992.799999999988</c:v>
                </c:pt>
                <c:pt idx="9">
                  <c:v>93192.799999999988</c:v>
                </c:pt>
                <c:pt idx="10">
                  <c:v>85119.199999999983</c:v>
                </c:pt>
                <c:pt idx="11">
                  <c:v>124919.19999999998</c:v>
                </c:pt>
                <c:pt idx="12">
                  <c:v>97339.199999999983</c:v>
                </c:pt>
              </c:numCache>
            </c:numRef>
          </c:val>
          <c:extLst>
            <c:ext xmlns:c16="http://schemas.microsoft.com/office/drawing/2014/chart" uri="{C3380CC4-5D6E-409C-BE32-E72D297353CC}">
              <c16:uniqueId val="{00000000-BB2D-3F46-81F5-6E3D4BB3549D}"/>
            </c:ext>
          </c:extLst>
        </c:ser>
        <c:dLbls>
          <c:showLegendKey val="0"/>
          <c:showVal val="0"/>
          <c:showCatName val="0"/>
          <c:showSerName val="0"/>
          <c:showPercent val="0"/>
          <c:showBubbleSize val="0"/>
        </c:dLbls>
        <c:gapWidth val="60"/>
        <c:axId val="10"/>
        <c:axId val="100"/>
      </c:barChart>
      <c:lineChart>
        <c:grouping val="standard"/>
        <c:varyColors val="1"/>
        <c:ser>
          <c:idx val="1"/>
          <c:order val="1"/>
          <c:tx>
            <c:v>Your minimum</c:v>
          </c:tx>
          <c:spPr>
            <a:ln w="25400">
              <a:solidFill>
                <a:srgbClr val="C9A84C"/>
              </a:solidFill>
              <a:prstDash val="dash"/>
            </a:ln>
          </c:spPr>
          <c:marker>
            <c:symbol val="none"/>
          </c:marker>
          <c:cat>
            <c:strRef>
              <c:f>'Cash flow'!$D$43:$P$43</c:f>
              <c:strCache>
                <c:ptCount val="13"/>
                <c:pt idx="0">
                  <c:v>26 Oct</c:v>
                </c:pt>
                <c:pt idx="1">
                  <c:v>2 Nov</c:v>
                </c:pt>
                <c:pt idx="2">
                  <c:v>9 Nov</c:v>
                </c:pt>
                <c:pt idx="3">
                  <c:v>16 Nov</c:v>
                </c:pt>
                <c:pt idx="4">
                  <c:v>23 Nov</c:v>
                </c:pt>
                <c:pt idx="5">
                  <c:v>30 Nov</c:v>
                </c:pt>
                <c:pt idx="6">
                  <c:v>7 Dec</c:v>
                </c:pt>
                <c:pt idx="7">
                  <c:v>14 Dec</c:v>
                </c:pt>
                <c:pt idx="8">
                  <c:v>21 Dec</c:v>
                </c:pt>
                <c:pt idx="9">
                  <c:v>28 Dec</c:v>
                </c:pt>
                <c:pt idx="10">
                  <c:v>4 Jan</c:v>
                </c:pt>
                <c:pt idx="11">
                  <c:v>11 Jan</c:v>
                </c:pt>
                <c:pt idx="12">
                  <c:v>18 Jan</c:v>
                </c:pt>
              </c:strCache>
            </c:strRef>
          </c:cat>
          <c:val>
            <c:numRef>
              <c:f>'Cash flow'!$D$28:$P$28</c:f>
              <c:numCache>
                <c:formatCode>"$"#,##0;[Red]\-"$"#,##0;"$"0</c:formatCode>
                <c:ptCount val="13"/>
                <c:pt idx="0">
                  <c:v>90000</c:v>
                </c:pt>
                <c:pt idx="1">
                  <c:v>90000</c:v>
                </c:pt>
                <c:pt idx="2">
                  <c:v>90000</c:v>
                </c:pt>
                <c:pt idx="3">
                  <c:v>90000</c:v>
                </c:pt>
                <c:pt idx="4">
                  <c:v>90000</c:v>
                </c:pt>
                <c:pt idx="5">
                  <c:v>90000</c:v>
                </c:pt>
                <c:pt idx="6">
                  <c:v>90000</c:v>
                </c:pt>
                <c:pt idx="7">
                  <c:v>90000</c:v>
                </c:pt>
                <c:pt idx="8">
                  <c:v>90000</c:v>
                </c:pt>
                <c:pt idx="9">
                  <c:v>90000</c:v>
                </c:pt>
                <c:pt idx="10">
                  <c:v>90000</c:v>
                </c:pt>
                <c:pt idx="11">
                  <c:v>90000</c:v>
                </c:pt>
                <c:pt idx="12">
                  <c:v>90000</c:v>
                </c:pt>
              </c:numCache>
            </c:numRef>
          </c:val>
          <c:smooth val="0"/>
          <c:extLst>
            <c:ext xmlns:c16="http://schemas.microsoft.com/office/drawing/2014/chart" uri="{C3380CC4-5D6E-409C-BE32-E72D297353CC}">
              <c16:uniqueId val="{00000001-BB2D-3F46-81F5-6E3D4BB3549D}"/>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spPr>
          <a:ln w="9525">
            <a:solidFill>
              <a:srgbClr val="9AA1AC"/>
            </a:solidFill>
            <a:prstDash val="solid"/>
          </a:ln>
        </c:spPr>
        <c:txPr>
          <a:bodyPr/>
          <a:lstStyle/>
          <a:p>
            <a:pPr>
              <a:defRPr sz="800">
                <a:solidFill>
                  <a:srgbClr val="5F6673"/>
                </a:solidFill>
                <a:latin typeface="Aptos"/>
              </a:defRPr>
            </a:pPr>
            <a:endParaRPr lang="en-US"/>
          </a:p>
        </c:txPr>
        <c:crossAx val="100"/>
        <c:crosses val="autoZero"/>
        <c:auto val="1"/>
        <c:lblAlgn val="ctr"/>
        <c:lblOffset val="100"/>
        <c:noMultiLvlLbl val="1"/>
      </c:catAx>
      <c:valAx>
        <c:axId val="100"/>
        <c:scaling>
          <c:orientation val="minMax"/>
        </c:scaling>
        <c:delete val="0"/>
        <c:axPos val="l"/>
        <c:majorGridlines>
          <c:spPr>
            <a:ln w="6350">
              <a:solidFill>
                <a:srgbClr val="E3E6EB"/>
              </a:solidFill>
              <a:prstDash val="solid"/>
            </a:ln>
          </c:spPr>
        </c:majorGridlines>
        <c:numFmt formatCode="&quot;$&quot;#,##0,&quot;k&quot;;\-&quot;$&quot;#,##0,&quot;k&quot;;&quot;$&quot;0" sourceLinked="0"/>
        <c:majorTickMark val="none"/>
        <c:minorTickMark val="none"/>
        <c:tickLblPos val="nextTo"/>
        <c:spPr>
          <a:ln>
            <a:noFill/>
            <a:prstDash val="solid"/>
          </a:ln>
        </c:spPr>
        <c:txPr>
          <a:bodyPr/>
          <a:lstStyle/>
          <a:p>
            <a:pPr>
              <a:defRPr sz="900">
                <a:solidFill>
                  <a:srgbClr val="5F6673"/>
                </a:solidFill>
                <a:latin typeface="Aptos"/>
              </a:defRPr>
            </a:pPr>
            <a:endParaRPr lang="en-US"/>
          </a:p>
        </c:txPr>
        <c:crossAx val="10"/>
        <c:crosses val="autoZero"/>
        <c:crossBetween val="between"/>
      </c:valAx>
    </c:plotArea>
    <c:legend>
      <c:legendPos val="t"/>
      <c:overlay val="0"/>
      <c:txPr>
        <a:bodyPr/>
        <a:lstStyle/>
        <a:p>
          <a:pPr>
            <a:defRPr sz="900">
              <a:solidFill>
                <a:srgbClr val="1B2230"/>
              </a:solidFill>
              <a:latin typeface="Aptos"/>
            </a:defRPr>
          </a:pPr>
          <a:endParaRPr lang="en-US"/>
        </a:p>
      </c:txPr>
    </c:legend>
    <c:plotVisOnly val="1"/>
    <c:dispBlanksAs val="gap"/>
    <c:showDLblsOverMax val="1"/>
  </c:chart>
  <c:spPr>
    <a:ln>
      <a:no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autoTitleDeleted val="1"/>
    <c:plotArea>
      <c:layout/>
      <c:barChart>
        <c:barDir val="col"/>
        <c:grouping val="clustered"/>
        <c:varyColors val="0"/>
        <c:ser>
          <c:idx val="0"/>
          <c:order val="0"/>
          <c:tx>
            <c:v>Total cash in</c:v>
          </c:tx>
          <c:spPr>
            <a:solidFill>
              <a:srgbClr val="14213D"/>
            </a:solidFill>
            <a:ln>
              <a:solidFill>
                <a:srgbClr val="14213D"/>
              </a:solidFill>
              <a:prstDash val="solid"/>
            </a:ln>
          </c:spPr>
          <c:invertIfNegative val="1"/>
          <c:cat>
            <c:strRef>
              <c:f>'Cash flow'!$D$43:$P$43</c:f>
              <c:strCache>
                <c:ptCount val="13"/>
                <c:pt idx="0">
                  <c:v>26 Oct</c:v>
                </c:pt>
                <c:pt idx="1">
                  <c:v>2 Nov</c:v>
                </c:pt>
                <c:pt idx="2">
                  <c:v>9 Nov</c:v>
                </c:pt>
                <c:pt idx="3">
                  <c:v>16 Nov</c:v>
                </c:pt>
                <c:pt idx="4">
                  <c:v>23 Nov</c:v>
                </c:pt>
                <c:pt idx="5">
                  <c:v>30 Nov</c:v>
                </c:pt>
                <c:pt idx="6">
                  <c:v>7 Dec</c:v>
                </c:pt>
                <c:pt idx="7">
                  <c:v>14 Dec</c:v>
                </c:pt>
                <c:pt idx="8">
                  <c:v>21 Dec</c:v>
                </c:pt>
                <c:pt idx="9">
                  <c:v>28 Dec</c:v>
                </c:pt>
                <c:pt idx="10">
                  <c:v>4 Jan</c:v>
                </c:pt>
                <c:pt idx="11">
                  <c:v>11 Jan</c:v>
                </c:pt>
                <c:pt idx="12">
                  <c:v>18 Jan</c:v>
                </c:pt>
              </c:strCache>
            </c:strRef>
          </c:cat>
          <c:val>
            <c:numRef>
              <c:f>'Cash flow'!$D$13:$P$13</c:f>
              <c:numCache>
                <c:formatCode>"$"#,##0;[Red]\-"$"#,##0;"$"0</c:formatCode>
                <c:ptCount val="13"/>
                <c:pt idx="0">
                  <c:v>56000</c:v>
                </c:pt>
                <c:pt idx="1">
                  <c:v>44000</c:v>
                </c:pt>
                <c:pt idx="2">
                  <c:v>52000</c:v>
                </c:pt>
                <c:pt idx="3">
                  <c:v>61000</c:v>
                </c:pt>
                <c:pt idx="4">
                  <c:v>47000</c:v>
                </c:pt>
                <c:pt idx="5">
                  <c:v>55000</c:v>
                </c:pt>
                <c:pt idx="6">
                  <c:v>63000</c:v>
                </c:pt>
                <c:pt idx="7">
                  <c:v>50000</c:v>
                </c:pt>
                <c:pt idx="8">
                  <c:v>26000</c:v>
                </c:pt>
                <c:pt idx="9">
                  <c:v>15000</c:v>
                </c:pt>
                <c:pt idx="10">
                  <c:v>51000</c:v>
                </c:pt>
                <c:pt idx="11">
                  <c:v>58000</c:v>
                </c:pt>
                <c:pt idx="12">
                  <c:v>54000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14213D"/>
                    </a:solidFill>
                    <a:prstDash val="solid"/>
                  </a:ln>
                </c14:spPr>
              </c14:invertSolidFillFmt>
            </c:ext>
            <c:ext xmlns:c16="http://schemas.microsoft.com/office/drawing/2014/chart" uri="{C3380CC4-5D6E-409C-BE32-E72D297353CC}">
              <c16:uniqueId val="{00000000-4661-324A-9550-3D100588CE3F}"/>
            </c:ext>
          </c:extLst>
        </c:ser>
        <c:ser>
          <c:idx val="1"/>
          <c:order val="1"/>
          <c:tx>
            <c:v>Total cash out</c:v>
          </c:tx>
          <c:spPr>
            <a:solidFill>
              <a:srgbClr val="C9A84C"/>
            </a:solidFill>
            <a:ln>
              <a:solidFill>
                <a:srgbClr val="C9A84C"/>
              </a:solidFill>
              <a:prstDash val="solid"/>
            </a:ln>
          </c:spPr>
          <c:invertIfNegative val="1"/>
          <c:cat>
            <c:strRef>
              <c:f>'Cash flow'!$D$43:$P$43</c:f>
              <c:strCache>
                <c:ptCount val="13"/>
                <c:pt idx="0">
                  <c:v>26 Oct</c:v>
                </c:pt>
                <c:pt idx="1">
                  <c:v>2 Nov</c:v>
                </c:pt>
                <c:pt idx="2">
                  <c:v>9 Nov</c:v>
                </c:pt>
                <c:pt idx="3">
                  <c:v>16 Nov</c:v>
                </c:pt>
                <c:pt idx="4">
                  <c:v>23 Nov</c:v>
                </c:pt>
                <c:pt idx="5">
                  <c:v>30 Nov</c:v>
                </c:pt>
                <c:pt idx="6">
                  <c:v>7 Dec</c:v>
                </c:pt>
                <c:pt idx="7">
                  <c:v>14 Dec</c:v>
                </c:pt>
                <c:pt idx="8">
                  <c:v>21 Dec</c:v>
                </c:pt>
                <c:pt idx="9">
                  <c:v>28 Dec</c:v>
                </c:pt>
                <c:pt idx="10">
                  <c:v>4 Jan</c:v>
                </c:pt>
                <c:pt idx="11">
                  <c:v>11 Jan</c:v>
                </c:pt>
                <c:pt idx="12">
                  <c:v>18 Jan</c:v>
                </c:pt>
              </c:strCache>
            </c:strRef>
          </c:cat>
          <c:val>
            <c:numRef>
              <c:f>'Cash flow'!$D$25:$P$25</c:f>
              <c:numCache>
                <c:formatCode>"$"#,##0;[Red]\-"$"#,##0;"$"0</c:formatCode>
                <c:ptCount val="13"/>
                <c:pt idx="0">
                  <c:v>67000</c:v>
                </c:pt>
                <c:pt idx="1">
                  <c:v>13373.6</c:v>
                </c:pt>
                <c:pt idx="2">
                  <c:v>62900</c:v>
                </c:pt>
                <c:pt idx="3">
                  <c:v>35880</c:v>
                </c:pt>
                <c:pt idx="4">
                  <c:v>97200</c:v>
                </c:pt>
                <c:pt idx="5">
                  <c:v>21800</c:v>
                </c:pt>
                <c:pt idx="6">
                  <c:v>61073.599999999999</c:v>
                </c:pt>
                <c:pt idx="7">
                  <c:v>29700</c:v>
                </c:pt>
                <c:pt idx="8">
                  <c:v>75080</c:v>
                </c:pt>
                <c:pt idx="9">
                  <c:v>16800</c:v>
                </c:pt>
                <c:pt idx="10">
                  <c:v>59073.599999999999</c:v>
                </c:pt>
                <c:pt idx="11">
                  <c:v>18200</c:v>
                </c:pt>
                <c:pt idx="12">
                  <c:v>81580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C9A84C"/>
                    </a:solidFill>
                    <a:prstDash val="solid"/>
                  </a:ln>
                </c14:spPr>
              </c14:invertSolidFillFmt>
            </c:ext>
            <c:ext xmlns:c16="http://schemas.microsoft.com/office/drawing/2014/chart" uri="{C3380CC4-5D6E-409C-BE32-E72D297353CC}">
              <c16:uniqueId val="{00000001-4661-324A-9550-3D100588CE3F}"/>
            </c:ext>
          </c:extLst>
        </c:ser>
        <c:dLbls>
          <c:showLegendKey val="0"/>
          <c:showVal val="0"/>
          <c:showCatName val="0"/>
          <c:showSerName val="0"/>
          <c:showPercent val="0"/>
          <c:showBubbleSize val="0"/>
        </c:dLbls>
        <c:gapWidth val="70"/>
        <c:overlap val="-10"/>
        <c:axId val="10"/>
        <c:axId val="100"/>
      </c:barChart>
      <c:catAx>
        <c:axId val="10"/>
        <c:scaling>
          <c:orientation val="minMax"/>
        </c:scaling>
        <c:delete val="0"/>
        <c:axPos val="b"/>
        <c:numFmt formatCode="General" sourceLinked="1"/>
        <c:majorTickMark val="none"/>
        <c:minorTickMark val="none"/>
        <c:tickLblPos val="low"/>
        <c:spPr>
          <a:ln w="9525">
            <a:solidFill>
              <a:srgbClr val="9AA1AC"/>
            </a:solidFill>
            <a:prstDash val="solid"/>
          </a:ln>
        </c:spPr>
        <c:txPr>
          <a:bodyPr/>
          <a:lstStyle/>
          <a:p>
            <a:pPr>
              <a:defRPr sz="700">
                <a:solidFill>
                  <a:srgbClr val="5F6673"/>
                </a:solidFill>
                <a:latin typeface="Aptos"/>
              </a:defRPr>
            </a:pPr>
            <a:endParaRPr lang="en-US"/>
          </a:p>
        </c:txPr>
        <c:crossAx val="100"/>
        <c:crosses val="autoZero"/>
        <c:auto val="1"/>
        <c:lblAlgn val="ctr"/>
        <c:lblOffset val="100"/>
        <c:noMultiLvlLbl val="1"/>
      </c:catAx>
      <c:valAx>
        <c:axId val="100"/>
        <c:scaling>
          <c:orientation val="minMax"/>
        </c:scaling>
        <c:delete val="0"/>
        <c:axPos val="l"/>
        <c:majorGridlines>
          <c:spPr>
            <a:ln w="6350">
              <a:solidFill>
                <a:srgbClr val="E3E6EB"/>
              </a:solidFill>
              <a:prstDash val="solid"/>
            </a:ln>
          </c:spPr>
        </c:majorGridlines>
        <c:numFmt formatCode="&quot;$&quot;#,##0,&quot;k&quot;;\-&quot;$&quot;#,##0,&quot;k&quot;;&quot;$&quot;0" sourceLinked="0"/>
        <c:majorTickMark val="none"/>
        <c:minorTickMark val="none"/>
        <c:tickLblPos val="nextTo"/>
        <c:spPr>
          <a:ln>
            <a:noFill/>
            <a:prstDash val="solid"/>
          </a:ln>
        </c:spPr>
        <c:txPr>
          <a:bodyPr/>
          <a:lstStyle/>
          <a:p>
            <a:pPr>
              <a:defRPr sz="900">
                <a:solidFill>
                  <a:srgbClr val="5F6673"/>
                </a:solidFill>
                <a:latin typeface="Aptos"/>
              </a:defRPr>
            </a:pPr>
            <a:endParaRPr lang="en-US"/>
          </a:p>
        </c:txPr>
        <c:crossAx val="10"/>
        <c:crosses val="autoZero"/>
        <c:crossBetween val="between"/>
      </c:valAx>
    </c:plotArea>
    <c:legend>
      <c:legendPos val="t"/>
      <c:overlay val="0"/>
      <c:txPr>
        <a:bodyPr/>
        <a:lstStyle/>
        <a:p>
          <a:pPr>
            <a:defRPr sz="900">
              <a:solidFill>
                <a:srgbClr val="1B2230"/>
              </a:solidFill>
              <a:latin typeface="Aptos"/>
            </a:defRPr>
          </a:pPr>
          <a:endParaRPr lang="en-US"/>
        </a:p>
      </c:txPr>
    </c:legend>
    <c:plotVisOnly val="1"/>
    <c:dispBlanksAs val="gap"/>
    <c:showDLblsOverMax val="1"/>
  </c:chart>
  <c:spPr>
    <a:ln>
      <a:no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18</xdr:row>
      <xdr:rowOff>60000</xdr:rowOff>
    </xdr:from>
    <xdr:to>
      <xdr:col>9</xdr:col>
      <xdr:colOff>0</xdr:colOff>
      <xdr:row>34</xdr:row>
      <xdr:rowOff>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110000</xdr:colOff>
      <xdr:row>18</xdr:row>
      <xdr:rowOff>60000</xdr:rowOff>
    </xdr:from>
    <xdr:to>
      <xdr:col>16</xdr:col>
      <xdr:colOff>0</xdr:colOff>
      <xdr:row>34</xdr:row>
      <xdr:rowOff>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Apto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4213D"/>
    <pageSetUpPr fitToPage="1"/>
  </sheetPr>
  <dimension ref="B1:I50"/>
  <sheetViews>
    <sheetView showGridLines="0" tabSelected="1" workbookViewId="0"/>
  </sheetViews>
  <sheetFormatPr baseColWidth="10" defaultColWidth="9" defaultRowHeight="18" customHeight="1" x14ac:dyDescent="0.2"/>
  <cols>
    <col min="1" max="1" width="2.3984375" customWidth="1"/>
    <col min="2" max="2" width="5" customWidth="1"/>
    <col min="3" max="3" width="30" customWidth="1"/>
    <col min="4" max="9" width="16" customWidth="1"/>
    <col min="10" max="10" width="3" customWidth="1"/>
  </cols>
  <sheetData>
    <row r="1" spans="2:9" ht="14" x14ac:dyDescent="0.2"/>
    <row r="2" spans="2:9" ht="14" customHeight="1" x14ac:dyDescent="0.2">
      <c r="B2" s="1"/>
      <c r="C2" s="1"/>
      <c r="D2" s="1"/>
      <c r="E2" s="1"/>
      <c r="F2" s="1"/>
      <c r="G2" s="1"/>
      <c r="H2" s="1"/>
      <c r="I2" s="1"/>
    </row>
    <row r="3" spans="2:9" ht="22" customHeight="1" x14ac:dyDescent="0.2">
      <c r="B3" s="1"/>
      <c r="C3" s="2" t="s">
        <v>0</v>
      </c>
      <c r="D3" s="1"/>
      <c r="E3" s="1"/>
      <c r="F3" s="1"/>
      <c r="G3" s="1"/>
      <c r="H3" s="1"/>
      <c r="I3" s="1"/>
    </row>
    <row r="4" spans="2:9" ht="40" customHeight="1" x14ac:dyDescent="0.2">
      <c r="B4" s="1"/>
      <c r="C4" s="3" t="s">
        <v>1</v>
      </c>
      <c r="D4" s="1"/>
      <c r="E4" s="1"/>
      <c r="F4" s="1"/>
      <c r="G4" s="1"/>
      <c r="H4" s="1"/>
      <c r="I4" s="1"/>
    </row>
    <row r="5" spans="2:9" ht="24" customHeight="1" x14ac:dyDescent="0.2">
      <c r="B5" s="1"/>
      <c r="C5" s="4" t="s">
        <v>2</v>
      </c>
      <c r="D5" s="1"/>
      <c r="E5" s="1"/>
      <c r="F5" s="1"/>
      <c r="G5" s="1"/>
      <c r="H5" s="1"/>
      <c r="I5" s="1"/>
    </row>
    <row r="6" spans="2:9" ht="14" customHeight="1" x14ac:dyDescent="0.2">
      <c r="B6" s="1"/>
      <c r="C6" s="1"/>
      <c r="D6" s="1"/>
      <c r="E6" s="1"/>
      <c r="F6" s="1"/>
      <c r="G6" s="1"/>
      <c r="H6" s="1"/>
      <c r="I6" s="1"/>
    </row>
    <row r="7" spans="2:9" ht="14" x14ac:dyDescent="0.2">
      <c r="B7" s="5"/>
      <c r="C7" s="5"/>
      <c r="D7" s="5"/>
      <c r="E7" s="5"/>
      <c r="F7" s="5"/>
      <c r="G7" s="5"/>
      <c r="H7" s="5"/>
      <c r="I7" s="5"/>
    </row>
    <row r="8" spans="2:9" ht="14" x14ac:dyDescent="0.2">
      <c r="C8" s="6" t="s">
        <v>3</v>
      </c>
      <c r="D8" s="7" t="s">
        <v>4</v>
      </c>
    </row>
    <row r="9" spans="2:9" ht="14" x14ac:dyDescent="0.2">
      <c r="C9" s="6" t="s">
        <v>5</v>
      </c>
      <c r="D9" s="7" t="s">
        <v>6</v>
      </c>
    </row>
    <row r="10" spans="2:9" ht="14" x14ac:dyDescent="0.2">
      <c r="C10" s="6" t="s">
        <v>7</v>
      </c>
      <c r="D10" s="7" t="s">
        <v>8</v>
      </c>
    </row>
    <row r="11" spans="2:9" ht="14" x14ac:dyDescent="0.2">
      <c r="C11" s="6" t="s">
        <v>9</v>
      </c>
      <c r="D11" s="7" t="s">
        <v>10</v>
      </c>
    </row>
    <row r="12" spans="2:9" ht="14" x14ac:dyDescent="0.2"/>
    <row r="13" spans="2:9" ht="30" customHeight="1" x14ac:dyDescent="0.2">
      <c r="C13" s="6" t="s">
        <v>11</v>
      </c>
      <c r="D13" s="8" t="str">
        <f>IF(Checks!$D$5=0,"Ready","Needs attention")</f>
        <v>Ready</v>
      </c>
      <c r="E13" s="80" t="str">
        <f>IF(Checks!$D$5=0,"All "&amp;Checks!$D$6&amp;" checks pass. The figures are ready to read on the Dashboard.",Checks!$D$5&amp;" of "&amp;Checks!$D$6&amp;" checks need a fix. Open the Checks sheet to see which.")</f>
        <v>All 17 checks pass. The figures are ready to read on the Dashboard.</v>
      </c>
      <c r="F13" s="73"/>
      <c r="G13" s="73"/>
      <c r="H13" s="73"/>
      <c r="I13" s="73"/>
    </row>
    <row r="14" spans="2:9" ht="14" x14ac:dyDescent="0.2"/>
    <row r="15" spans="2:9" ht="22" customHeight="1" x14ac:dyDescent="0.2">
      <c r="B15" s="9" t="s">
        <v>12</v>
      </c>
      <c r="C15" s="1"/>
      <c r="D15" s="1"/>
      <c r="E15" s="1"/>
      <c r="F15" s="1"/>
      <c r="G15" s="1"/>
      <c r="H15" s="1"/>
      <c r="I15" s="1"/>
    </row>
    <row r="16" spans="2:9" ht="32" customHeight="1" x14ac:dyDescent="0.2">
      <c r="B16" s="10">
        <v>1</v>
      </c>
      <c r="C16" s="74" t="s">
        <v>13</v>
      </c>
      <c r="D16" s="75"/>
      <c r="E16" s="75"/>
      <c r="F16" s="75"/>
      <c r="G16" s="75"/>
      <c r="H16" s="75"/>
      <c r="I16" s="75"/>
    </row>
    <row r="17" spans="2:9" ht="32" customHeight="1" x14ac:dyDescent="0.2">
      <c r="B17" s="10">
        <v>2</v>
      </c>
      <c r="C17" s="74" t="s">
        <v>14</v>
      </c>
      <c r="D17" s="75"/>
      <c r="E17" s="75"/>
      <c r="F17" s="75"/>
      <c r="G17" s="75"/>
      <c r="H17" s="75"/>
      <c r="I17" s="75"/>
    </row>
    <row r="18" spans="2:9" ht="32" customHeight="1" x14ac:dyDescent="0.2">
      <c r="B18" s="10">
        <v>3</v>
      </c>
      <c r="C18" s="74" t="s">
        <v>15</v>
      </c>
      <c r="D18" s="75"/>
      <c r="E18" s="75"/>
      <c r="F18" s="75"/>
      <c r="G18" s="75"/>
      <c r="H18" s="75"/>
      <c r="I18" s="75"/>
    </row>
    <row r="19" spans="2:9" ht="32" customHeight="1" x14ac:dyDescent="0.2">
      <c r="B19" s="10">
        <v>4</v>
      </c>
      <c r="C19" s="74" t="s">
        <v>16</v>
      </c>
      <c r="D19" s="75"/>
      <c r="E19" s="75"/>
      <c r="F19" s="75"/>
      <c r="G19" s="75"/>
      <c r="H19" s="75"/>
      <c r="I19" s="75"/>
    </row>
    <row r="20" spans="2:9" ht="32" customHeight="1" x14ac:dyDescent="0.2">
      <c r="B20" s="10">
        <v>5</v>
      </c>
      <c r="C20" s="74" t="s">
        <v>17</v>
      </c>
      <c r="D20" s="75"/>
      <c r="E20" s="75"/>
      <c r="F20" s="75"/>
      <c r="G20" s="75"/>
      <c r="H20" s="75"/>
      <c r="I20" s="75"/>
    </row>
    <row r="21" spans="2:9" ht="14" x14ac:dyDescent="0.2"/>
    <row r="22" spans="2:9" ht="22" customHeight="1" x14ac:dyDescent="0.2">
      <c r="B22" s="9" t="s">
        <v>18</v>
      </c>
      <c r="C22" s="1"/>
      <c r="D22" s="1"/>
      <c r="E22" s="1"/>
      <c r="F22" s="1"/>
      <c r="G22" s="1"/>
      <c r="H22" s="1"/>
      <c r="I22" s="1"/>
    </row>
    <row r="23" spans="2:9" ht="14" x14ac:dyDescent="0.2">
      <c r="B23" s="12"/>
      <c r="C23" s="13" t="s">
        <v>19</v>
      </c>
      <c r="D23" s="13" t="s">
        <v>20</v>
      </c>
      <c r="E23" s="78" t="s">
        <v>21</v>
      </c>
      <c r="F23" s="79"/>
      <c r="G23" s="79"/>
      <c r="H23" s="79"/>
      <c r="I23" s="79"/>
    </row>
    <row r="24" spans="2:9" ht="30" customHeight="1" x14ac:dyDescent="0.2">
      <c r="B24" s="14"/>
      <c r="C24" s="15" t="s">
        <v>22</v>
      </c>
      <c r="D24" s="16" t="s">
        <v>23</v>
      </c>
      <c r="E24" s="74" t="s">
        <v>24</v>
      </c>
      <c r="F24" s="75"/>
      <c r="G24" s="75"/>
      <c r="H24" s="75"/>
      <c r="I24" s="75"/>
    </row>
    <row r="25" spans="2:9" ht="30" customHeight="1" x14ac:dyDescent="0.2">
      <c r="B25" s="17"/>
      <c r="C25" s="15" t="s">
        <v>25</v>
      </c>
      <c r="D25" s="16" t="s">
        <v>26</v>
      </c>
      <c r="E25" s="74" t="s">
        <v>27</v>
      </c>
      <c r="F25" s="75"/>
      <c r="G25" s="75"/>
      <c r="H25" s="75"/>
      <c r="I25" s="75"/>
    </row>
    <row r="26" spans="2:9" ht="30" customHeight="1" x14ac:dyDescent="0.2">
      <c r="B26" s="18"/>
      <c r="C26" s="15" t="s">
        <v>28</v>
      </c>
      <c r="D26" s="16" t="s">
        <v>29</v>
      </c>
      <c r="E26" s="74" t="s">
        <v>30</v>
      </c>
      <c r="F26" s="75"/>
      <c r="G26" s="75"/>
      <c r="H26" s="75"/>
      <c r="I26" s="75"/>
    </row>
    <row r="27" spans="2:9" ht="30" customHeight="1" x14ac:dyDescent="0.2">
      <c r="B27" s="19"/>
      <c r="C27" s="15" t="s">
        <v>31</v>
      </c>
      <c r="D27" s="16" t="s">
        <v>32</v>
      </c>
      <c r="E27" s="74" t="s">
        <v>33</v>
      </c>
      <c r="F27" s="75"/>
      <c r="G27" s="75"/>
      <c r="H27" s="75"/>
      <c r="I27" s="75"/>
    </row>
    <row r="28" spans="2:9" ht="30" customHeight="1" x14ac:dyDescent="0.2">
      <c r="B28" s="20"/>
      <c r="C28" s="15" t="s">
        <v>34</v>
      </c>
      <c r="D28" s="16" t="s">
        <v>34</v>
      </c>
      <c r="E28" s="74" t="s">
        <v>35</v>
      </c>
      <c r="F28" s="75"/>
      <c r="G28" s="75"/>
      <c r="H28" s="75"/>
      <c r="I28" s="75"/>
    </row>
    <row r="29" spans="2:9" ht="14" x14ac:dyDescent="0.2"/>
    <row r="30" spans="2:9" ht="22" customHeight="1" x14ac:dyDescent="0.2">
      <c r="B30" s="9" t="s">
        <v>36</v>
      </c>
      <c r="C30" s="1"/>
      <c r="D30" s="1"/>
      <c r="E30" s="1"/>
      <c r="F30" s="1"/>
      <c r="G30" s="1"/>
      <c r="H30" s="1"/>
      <c r="I30" s="1"/>
    </row>
    <row r="31" spans="2:9" ht="30" customHeight="1" x14ac:dyDescent="0.2">
      <c r="C31" s="21" t="s">
        <v>37</v>
      </c>
      <c r="D31" s="76" t="s">
        <v>38</v>
      </c>
      <c r="E31" s="73"/>
      <c r="F31" s="73"/>
      <c r="G31" s="73"/>
      <c r="H31" s="73"/>
      <c r="I31" s="73"/>
    </row>
    <row r="32" spans="2:9" ht="30" customHeight="1" x14ac:dyDescent="0.2">
      <c r="C32" s="22" t="s">
        <v>39</v>
      </c>
      <c r="D32" s="76" t="s">
        <v>40</v>
      </c>
      <c r="E32" s="73"/>
      <c r="F32" s="73"/>
      <c r="G32" s="73"/>
      <c r="H32" s="73"/>
      <c r="I32" s="73"/>
    </row>
    <row r="33" spans="2:9" ht="30" customHeight="1" x14ac:dyDescent="0.2">
      <c r="C33" s="23" t="s">
        <v>41</v>
      </c>
      <c r="D33" s="76" t="s">
        <v>42</v>
      </c>
      <c r="E33" s="73"/>
      <c r="F33" s="73"/>
      <c r="G33" s="73"/>
      <c r="H33" s="73"/>
      <c r="I33" s="73"/>
    </row>
    <row r="34" spans="2:9" ht="30" customHeight="1" x14ac:dyDescent="0.2">
      <c r="C34" s="24" t="s">
        <v>43</v>
      </c>
      <c r="D34" s="76" t="s">
        <v>44</v>
      </c>
      <c r="E34" s="73"/>
      <c r="F34" s="73"/>
      <c r="G34" s="73"/>
      <c r="H34" s="73"/>
      <c r="I34" s="73"/>
    </row>
    <row r="35" spans="2:9" ht="14" x14ac:dyDescent="0.2"/>
    <row r="36" spans="2:9" ht="22" customHeight="1" x14ac:dyDescent="0.2">
      <c r="B36" s="9" t="s">
        <v>45</v>
      </c>
      <c r="C36" s="1"/>
      <c r="D36" s="1"/>
      <c r="E36" s="1"/>
      <c r="F36" s="1"/>
      <c r="G36" s="1"/>
      <c r="H36" s="1"/>
      <c r="I36" s="1"/>
    </row>
    <row r="37" spans="2:9" ht="32" customHeight="1" x14ac:dyDescent="0.2">
      <c r="C37" s="72" t="s">
        <v>46</v>
      </c>
      <c r="D37" s="73"/>
      <c r="E37" s="73"/>
      <c r="F37" s="73"/>
      <c r="G37" s="73"/>
      <c r="H37" s="73"/>
      <c r="I37" s="73"/>
    </row>
    <row r="38" spans="2:9" ht="20" customHeight="1" x14ac:dyDescent="0.2">
      <c r="C38" s="25" t="s">
        <v>47</v>
      </c>
      <c r="D38" s="77" t="s">
        <v>48</v>
      </c>
      <c r="E38" s="75"/>
      <c r="F38" s="75"/>
      <c r="G38" s="75"/>
      <c r="H38" s="75"/>
      <c r="I38" s="75"/>
    </row>
    <row r="39" spans="2:9" ht="32" customHeight="1" x14ac:dyDescent="0.2">
      <c r="C39" s="25" t="s">
        <v>49</v>
      </c>
      <c r="D39" s="77" t="s">
        <v>50</v>
      </c>
      <c r="E39" s="75"/>
      <c r="F39" s="75"/>
      <c r="G39" s="75"/>
      <c r="H39" s="75"/>
      <c r="I39" s="75"/>
    </row>
    <row r="40" spans="2:9" ht="20" customHeight="1" x14ac:dyDescent="0.2">
      <c r="C40" s="25" t="s">
        <v>51</v>
      </c>
      <c r="D40" s="77" t="s">
        <v>52</v>
      </c>
      <c r="E40" s="75"/>
      <c r="F40" s="75"/>
      <c r="G40" s="75"/>
      <c r="H40" s="75"/>
      <c r="I40" s="75"/>
    </row>
    <row r="41" spans="2:9" ht="20" customHeight="1" x14ac:dyDescent="0.2">
      <c r="C41" s="25" t="s">
        <v>53</v>
      </c>
      <c r="D41" s="77" t="s">
        <v>54</v>
      </c>
      <c r="E41" s="75"/>
      <c r="F41" s="75"/>
      <c r="G41" s="75"/>
      <c r="H41" s="75"/>
      <c r="I41" s="75"/>
    </row>
    <row r="42" spans="2:9" ht="20" customHeight="1" x14ac:dyDescent="0.2">
      <c r="C42" s="25" t="s">
        <v>55</v>
      </c>
      <c r="D42" s="77" t="s">
        <v>56</v>
      </c>
      <c r="E42" s="75"/>
      <c r="F42" s="75"/>
      <c r="G42" s="75"/>
      <c r="H42" s="75"/>
      <c r="I42" s="75"/>
    </row>
    <row r="43" spans="2:9" ht="20" customHeight="1" x14ac:dyDescent="0.2">
      <c r="C43" s="25" t="s">
        <v>57</v>
      </c>
      <c r="D43" s="77" t="s">
        <v>58</v>
      </c>
      <c r="E43" s="75"/>
      <c r="F43" s="75"/>
      <c r="G43" s="75"/>
      <c r="H43" s="75"/>
      <c r="I43" s="75"/>
    </row>
    <row r="44" spans="2:9" ht="32" customHeight="1" x14ac:dyDescent="0.2">
      <c r="C44" s="25" t="s">
        <v>59</v>
      </c>
      <c r="D44" s="77" t="s">
        <v>60</v>
      </c>
      <c r="E44" s="75"/>
      <c r="F44" s="75"/>
      <c r="G44" s="75"/>
      <c r="H44" s="75"/>
      <c r="I44" s="75"/>
    </row>
    <row r="45" spans="2:9" ht="32" customHeight="1" x14ac:dyDescent="0.2">
      <c r="C45" s="81" t="s">
        <v>61</v>
      </c>
      <c r="D45" s="73"/>
      <c r="E45" s="73"/>
      <c r="F45" s="73"/>
      <c r="G45" s="73"/>
      <c r="H45" s="73"/>
      <c r="I45" s="73"/>
    </row>
    <row r="46" spans="2:9" ht="14" x14ac:dyDescent="0.2"/>
    <row r="47" spans="2:9" ht="22" customHeight="1" x14ac:dyDescent="0.2">
      <c r="B47" s="9" t="s">
        <v>62</v>
      </c>
      <c r="C47" s="1"/>
      <c r="D47" s="1"/>
      <c r="E47" s="1"/>
      <c r="F47" s="1"/>
      <c r="G47" s="1"/>
      <c r="H47" s="1"/>
      <c r="I47" s="1"/>
    </row>
    <row r="48" spans="2:9" ht="46" customHeight="1" x14ac:dyDescent="0.2">
      <c r="C48" s="72" t="s">
        <v>63</v>
      </c>
      <c r="D48" s="73"/>
      <c r="E48" s="73"/>
      <c r="F48" s="73"/>
      <c r="G48" s="73"/>
      <c r="H48" s="73"/>
      <c r="I48" s="73"/>
    </row>
    <row r="49" spans="3:9" ht="14" x14ac:dyDescent="0.2"/>
    <row r="50" spans="3:9" ht="30" customHeight="1" x14ac:dyDescent="0.2">
      <c r="C50" s="81" t="s">
        <v>64</v>
      </c>
      <c r="D50" s="73"/>
      <c r="E50" s="73"/>
      <c r="F50" s="73"/>
      <c r="G50" s="73"/>
      <c r="H50" s="73"/>
      <c r="I50" s="73"/>
    </row>
  </sheetData>
  <mergeCells count="27">
    <mergeCell ref="C50:I50"/>
    <mergeCell ref="D34:I34"/>
    <mergeCell ref="D40:I40"/>
    <mergeCell ref="E25:I25"/>
    <mergeCell ref="D31:I31"/>
    <mergeCell ref="E13:I13"/>
    <mergeCell ref="D39:I39"/>
    <mergeCell ref="D33:I33"/>
    <mergeCell ref="C45:I45"/>
    <mergeCell ref="D42:I42"/>
    <mergeCell ref="D38:I38"/>
    <mergeCell ref="C20:I20"/>
    <mergeCell ref="E27:I27"/>
    <mergeCell ref="C16:I16"/>
    <mergeCell ref="D44:I44"/>
    <mergeCell ref="E26:I26"/>
    <mergeCell ref="C48:I48"/>
    <mergeCell ref="C17:I17"/>
    <mergeCell ref="D32:I32"/>
    <mergeCell ref="E24:I24"/>
    <mergeCell ref="D41:I41"/>
    <mergeCell ref="E23:I23"/>
    <mergeCell ref="C19:I19"/>
    <mergeCell ref="C37:I37"/>
    <mergeCell ref="D43:I43"/>
    <mergeCell ref="C18:I18"/>
    <mergeCell ref="E28:I28"/>
  </mergeCells>
  <conditionalFormatting sqref="D13">
    <cfRule type="cellIs" dxfId="19" priority="1" operator="equal">
      <formula>"Ready"</formula>
    </cfRule>
    <cfRule type="cellIs" dxfId="18" priority="2" operator="equal">
      <formula>"Needs attention"</formula>
    </cfRule>
  </conditionalFormatting>
  <hyperlinks>
    <hyperlink ref="C24" location="'Cover'!A1" display="Cover" xr:uid="{00000000-0004-0000-0000-000000000000}"/>
    <hyperlink ref="C25" location="'Inputs'!A1" display="Inputs" xr:uid="{00000000-0004-0000-0000-000001000000}"/>
    <hyperlink ref="C26" location="'Dashboard'!A1" display="Dashboard" xr:uid="{00000000-0004-0000-0000-000002000000}"/>
    <hyperlink ref="C27" location="'Cash flow'!A1" display="Cash flow" xr:uid="{00000000-0004-0000-0000-000003000000}"/>
    <hyperlink ref="C28" location="'Checks'!A1" display="Checks" xr:uid="{00000000-0004-0000-0000-000004000000}"/>
  </hyperlinks>
  <printOptions horizontalCentered="1"/>
  <pageMargins left="0.5" right="0.5" top="0.7" bottom="0.6" header="0.3" footer="0.3"/>
  <pageSetup paperSize="9" orientation="portrait"/>
  <headerFooter>
    <oddHeader>&amp;L&amp;8 &amp;K5F667313-Week Cash Flow Template&amp;R&amp;8 &amp;K5F6673Ivanka Menken, Strategic Mentor</oddHeader>
    <oddFooter>&amp;L&amp;8 &amp;K5F6673https://ivankamenken.com&amp;C&amp;8 &amp;K5F6673Page &amp;P of &amp;N&amp;R&amp;8 &amp;K5F6673&amp;A</oddFooter>
    <evenHeader>&amp;L&amp;8 &amp;K5F667313-Week Cash Flow Template&amp;R&amp;8 &amp;K5F6673Ivanka Menken, Strategic Mentor</evenHeader>
    <evenFooter>&amp;L&amp;8 &amp;K5F6673https://ivankamenken.com&amp;C&amp;8 &amp;K5F6673Page &amp;P of &amp;N&amp;R&amp;8 &amp;K5F6673&amp;A</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9A84C"/>
    <pageSetUpPr fitToPage="1"/>
  </sheetPr>
  <dimension ref="B1:Q44"/>
  <sheetViews>
    <sheetView showGridLines="0" workbookViewId="0">
      <pane xSplit="3" ySplit="29" topLeftCell="D30" activePane="bottomRight" state="frozen"/>
      <selection pane="topRight"/>
      <selection pane="bottomLeft"/>
      <selection pane="bottomRight"/>
    </sheetView>
  </sheetViews>
  <sheetFormatPr baseColWidth="10" defaultColWidth="9" defaultRowHeight="18" customHeight="1" x14ac:dyDescent="0.2"/>
  <cols>
    <col min="1" max="1" width="2.3984375" customWidth="1"/>
    <col min="2" max="2" width="46" customWidth="1"/>
    <col min="3" max="3" width="2" customWidth="1"/>
    <col min="4" max="16" width="11.3984375" customWidth="1"/>
    <col min="17" max="17" width="13" customWidth="1"/>
    <col min="18" max="18" width="2.3984375" customWidth="1"/>
  </cols>
  <sheetData>
    <row r="1" spans="2:17" ht="10" customHeight="1" x14ac:dyDescent="0.2"/>
    <row r="2" spans="2:17" ht="34" customHeight="1" x14ac:dyDescent="0.35">
      <c r="B2" s="26" t="s">
        <v>25</v>
      </c>
    </row>
    <row r="3" spans="2:17" ht="20" customHeight="1" x14ac:dyDescent="0.2">
      <c r="B3" s="27" t="s">
        <v>65</v>
      </c>
      <c r="C3" s="28"/>
      <c r="D3" s="28"/>
      <c r="E3" s="28"/>
      <c r="F3" s="28"/>
      <c r="G3" s="28"/>
      <c r="H3" s="28"/>
      <c r="I3" s="28"/>
      <c r="J3" s="28"/>
      <c r="K3" s="28"/>
      <c r="L3" s="28"/>
      <c r="M3" s="28"/>
      <c r="N3" s="28"/>
      <c r="O3" s="28"/>
      <c r="P3" s="28"/>
      <c r="Q3" s="28"/>
    </row>
    <row r="4" spans="2:17" ht="14" x14ac:dyDescent="0.2">
      <c r="B4" s="29" t="s">
        <v>66</v>
      </c>
    </row>
    <row r="6" spans="2:17" ht="22" customHeight="1" x14ac:dyDescent="0.2">
      <c r="B6" s="9" t="s">
        <v>67</v>
      </c>
      <c r="C6" s="1"/>
      <c r="D6" s="1"/>
      <c r="E6" s="1"/>
      <c r="F6" s="1"/>
      <c r="G6" s="1"/>
      <c r="H6" s="1"/>
      <c r="I6" s="1"/>
      <c r="J6" s="1"/>
      <c r="K6" s="1"/>
      <c r="L6" s="1"/>
      <c r="M6" s="1"/>
      <c r="N6" s="1"/>
      <c r="O6" s="1"/>
      <c r="P6" s="1"/>
      <c r="Q6" s="1"/>
    </row>
    <row r="7" spans="2:17" ht="20" customHeight="1" x14ac:dyDescent="0.2">
      <c r="B7" s="30" t="s">
        <v>68</v>
      </c>
      <c r="D7" s="82"/>
      <c r="E7" s="83"/>
      <c r="F7" s="83"/>
      <c r="G7" s="83"/>
      <c r="H7" s="31" t="s">
        <v>69</v>
      </c>
    </row>
    <row r="8" spans="2:17" ht="20" customHeight="1" x14ac:dyDescent="0.2">
      <c r="B8" s="30" t="s">
        <v>70</v>
      </c>
      <c r="D8" s="32">
        <v>46321</v>
      </c>
      <c r="E8" s="31" t="s">
        <v>71</v>
      </c>
    </row>
    <row r="9" spans="2:17" ht="20" customHeight="1" x14ac:dyDescent="0.2">
      <c r="B9" s="30" t="s">
        <v>72</v>
      </c>
      <c r="D9" s="33">
        <v>105000</v>
      </c>
      <c r="E9" s="31" t="s">
        <v>73</v>
      </c>
    </row>
    <row r="10" spans="2:17" ht="20" customHeight="1" x14ac:dyDescent="0.2">
      <c r="B10" s="30" t="s">
        <v>74</v>
      </c>
      <c r="D10" s="33">
        <v>90000</v>
      </c>
      <c r="E10" s="31" t="s">
        <v>75</v>
      </c>
    </row>
    <row r="11" spans="2:17" ht="20" customHeight="1" x14ac:dyDescent="0.2">
      <c r="B11" s="30" t="s">
        <v>76</v>
      </c>
      <c r="D11" s="34" t="s">
        <v>77</v>
      </c>
      <c r="E11" s="31" t="s">
        <v>78</v>
      </c>
    </row>
    <row r="13" spans="2:17" ht="22" customHeight="1" x14ac:dyDescent="0.2">
      <c r="B13" s="9" t="s">
        <v>79</v>
      </c>
      <c r="C13" s="1"/>
      <c r="D13" s="1"/>
      <c r="E13" s="1"/>
      <c r="F13" s="1"/>
      <c r="G13" s="1"/>
      <c r="H13" s="1"/>
      <c r="I13" s="1"/>
      <c r="J13" s="1"/>
      <c r="K13" s="1"/>
      <c r="L13" s="1"/>
      <c r="M13" s="1"/>
      <c r="N13" s="1"/>
      <c r="O13" s="1"/>
      <c r="P13" s="1"/>
      <c r="Q13" s="1"/>
    </row>
    <row r="14" spans="2:17" ht="20" customHeight="1" x14ac:dyDescent="0.2">
      <c r="B14" s="30" t="s">
        <v>80</v>
      </c>
      <c r="D14" s="33">
        <v>48000</v>
      </c>
      <c r="E14" s="31" t="s">
        <v>81</v>
      </c>
    </row>
    <row r="15" spans="2:17" ht="20" customHeight="1" x14ac:dyDescent="0.2">
      <c r="B15" s="30" t="s">
        <v>82</v>
      </c>
      <c r="D15" s="34" t="s">
        <v>83</v>
      </c>
      <c r="E15" s="31" t="s">
        <v>84</v>
      </c>
    </row>
    <row r="16" spans="2:17" ht="20" customHeight="1" x14ac:dyDescent="0.2">
      <c r="B16" s="30" t="s">
        <v>85</v>
      </c>
      <c r="D16" s="32">
        <v>46324</v>
      </c>
      <c r="E16" s="31" t="s">
        <v>86</v>
      </c>
    </row>
    <row r="17" spans="2:17" ht="20" customHeight="1" x14ac:dyDescent="0.2">
      <c r="B17" s="30" t="s">
        <v>87</v>
      </c>
      <c r="D17" s="35">
        <v>0.22</v>
      </c>
      <c r="E17" s="31" t="s">
        <v>88</v>
      </c>
    </row>
    <row r="18" spans="2:17" ht="20" customHeight="1" x14ac:dyDescent="0.2">
      <c r="B18" s="30" t="s">
        <v>89</v>
      </c>
      <c r="D18" s="35">
        <v>0.12</v>
      </c>
      <c r="E18" s="31" t="s">
        <v>90</v>
      </c>
    </row>
    <row r="19" spans="2:17" ht="20" customHeight="1" x14ac:dyDescent="0.2">
      <c r="B19" s="30" t="s">
        <v>91</v>
      </c>
      <c r="D19" s="36">
        <v>7.4999999999999997E-3</v>
      </c>
      <c r="E19" s="31" t="s">
        <v>92</v>
      </c>
    </row>
    <row r="20" spans="2:17" ht="20" customHeight="1" x14ac:dyDescent="0.2">
      <c r="B20" s="30" t="s">
        <v>93</v>
      </c>
      <c r="D20" s="37">
        <v>7</v>
      </c>
      <c r="E20" s="31" t="s">
        <v>94</v>
      </c>
    </row>
    <row r="21" spans="2:17" ht="20" customHeight="1" x14ac:dyDescent="0.2">
      <c r="B21" s="30" t="s">
        <v>95</v>
      </c>
      <c r="D21" s="33"/>
      <c r="E21" s="31" t="s">
        <v>96</v>
      </c>
    </row>
    <row r="23" spans="2:17" ht="22" customHeight="1" x14ac:dyDescent="0.2">
      <c r="B23" s="9" t="s">
        <v>97</v>
      </c>
      <c r="C23" s="1"/>
      <c r="D23" s="1"/>
      <c r="E23" s="1"/>
      <c r="F23" s="1"/>
      <c r="G23" s="1"/>
      <c r="H23" s="1"/>
      <c r="I23" s="1"/>
      <c r="J23" s="1"/>
      <c r="K23" s="1"/>
      <c r="L23" s="1"/>
      <c r="M23" s="1"/>
      <c r="N23" s="1"/>
      <c r="O23" s="1"/>
      <c r="P23" s="1"/>
      <c r="Q23" s="1"/>
    </row>
    <row r="24" spans="2:17" ht="20" customHeight="1" x14ac:dyDescent="0.2">
      <c r="B24" s="30" t="s">
        <v>98</v>
      </c>
      <c r="D24" s="35">
        <v>0.1</v>
      </c>
      <c r="E24" s="31" t="s">
        <v>99</v>
      </c>
    </row>
    <row r="25" spans="2:17" ht="20" customHeight="1" x14ac:dyDescent="0.2">
      <c r="B25" s="30" t="s">
        <v>100</v>
      </c>
      <c r="D25" s="37">
        <v>1</v>
      </c>
      <c r="E25" s="31" t="s">
        <v>101</v>
      </c>
    </row>
    <row r="27" spans="2:17" ht="22" customHeight="1" x14ac:dyDescent="0.2">
      <c r="B27" s="9" t="s">
        <v>102</v>
      </c>
      <c r="C27" s="1"/>
      <c r="D27" s="1"/>
      <c r="E27" s="1"/>
      <c r="F27" s="1"/>
      <c r="G27" s="1"/>
      <c r="H27" s="1"/>
      <c r="I27" s="1"/>
      <c r="J27" s="1"/>
      <c r="K27" s="1"/>
      <c r="L27" s="1"/>
      <c r="M27" s="1"/>
      <c r="N27" s="1"/>
      <c r="O27" s="1"/>
      <c r="P27" s="1"/>
      <c r="Q27" s="1"/>
    </row>
    <row r="28" spans="2:17" ht="20" customHeight="1" x14ac:dyDescent="0.2">
      <c r="B28" s="13" t="s">
        <v>103</v>
      </c>
      <c r="D28" s="38" t="s">
        <v>104</v>
      </c>
      <c r="E28" s="38" t="s">
        <v>105</v>
      </c>
      <c r="F28" s="38" t="s">
        <v>106</v>
      </c>
      <c r="G28" s="38" t="s">
        <v>107</v>
      </c>
      <c r="H28" s="38" t="s">
        <v>108</v>
      </c>
      <c r="I28" s="38" t="s">
        <v>109</v>
      </c>
      <c r="J28" s="38" t="s">
        <v>110</v>
      </c>
      <c r="K28" s="38" t="s">
        <v>111</v>
      </c>
      <c r="L28" s="38" t="s">
        <v>112</v>
      </c>
      <c r="M28" s="38" t="s">
        <v>113</v>
      </c>
      <c r="N28" s="38" t="s">
        <v>114</v>
      </c>
      <c r="O28" s="38" t="s">
        <v>115</v>
      </c>
      <c r="P28" s="38" t="s">
        <v>116</v>
      </c>
      <c r="Q28" s="38" t="s">
        <v>117</v>
      </c>
    </row>
    <row r="29" spans="2:17" ht="14" x14ac:dyDescent="0.2">
      <c r="B29" s="39" t="s">
        <v>118</v>
      </c>
      <c r="D29" s="40">
        <f>$D$8+0</f>
        <v>46321</v>
      </c>
      <c r="E29" s="40">
        <f>$D$8+7</f>
        <v>46328</v>
      </c>
      <c r="F29" s="40">
        <f>$D$8+14</f>
        <v>46335</v>
      </c>
      <c r="G29" s="40">
        <f>$D$8+21</f>
        <v>46342</v>
      </c>
      <c r="H29" s="40">
        <f>$D$8+28</f>
        <v>46349</v>
      </c>
      <c r="I29" s="40">
        <f>$D$8+35</f>
        <v>46356</v>
      </c>
      <c r="J29" s="40">
        <f>$D$8+42</f>
        <v>46363</v>
      </c>
      <c r="K29" s="40">
        <f>$D$8+49</f>
        <v>46370</v>
      </c>
      <c r="L29" s="40">
        <f>$D$8+56</f>
        <v>46377</v>
      </c>
      <c r="M29" s="40">
        <f>$D$8+63</f>
        <v>46384</v>
      </c>
      <c r="N29" s="40">
        <f>$D$8+70</f>
        <v>46391</v>
      </c>
      <c r="O29" s="40">
        <f>$D$8+77</f>
        <v>46398</v>
      </c>
      <c r="P29" s="40">
        <f>$D$8+84</f>
        <v>46405</v>
      </c>
    </row>
    <row r="30" spans="2:17" ht="14" x14ac:dyDescent="0.2">
      <c r="B30" s="41" t="s">
        <v>119</v>
      </c>
      <c r="C30" s="42"/>
      <c r="D30" s="42"/>
      <c r="E30" s="42"/>
      <c r="F30" s="42"/>
      <c r="G30" s="42"/>
      <c r="H30" s="42"/>
      <c r="I30" s="42"/>
      <c r="J30" s="42"/>
      <c r="K30" s="42"/>
      <c r="L30" s="42"/>
      <c r="M30" s="42"/>
      <c r="N30" s="42"/>
      <c r="O30" s="42"/>
      <c r="P30" s="42"/>
      <c r="Q30" s="42"/>
    </row>
    <row r="31" spans="2:17" ht="20" customHeight="1" x14ac:dyDescent="0.2">
      <c r="B31" s="30" t="s">
        <v>120</v>
      </c>
      <c r="D31" s="33">
        <v>56000</v>
      </c>
      <c r="E31" s="33">
        <v>44000</v>
      </c>
      <c r="F31" s="33">
        <v>52000</v>
      </c>
      <c r="G31" s="33">
        <v>61000</v>
      </c>
      <c r="H31" s="33">
        <v>47000</v>
      </c>
      <c r="I31" s="33">
        <v>55000</v>
      </c>
      <c r="J31" s="33">
        <v>63000</v>
      </c>
      <c r="K31" s="33">
        <v>50000</v>
      </c>
      <c r="L31" s="33">
        <v>26000</v>
      </c>
      <c r="M31" s="33">
        <v>15000</v>
      </c>
      <c r="N31" s="33">
        <v>43000</v>
      </c>
      <c r="O31" s="33">
        <v>58000</v>
      </c>
      <c r="P31" s="33">
        <v>54000</v>
      </c>
      <c r="Q31" s="43">
        <f>SUM(D31:P31)</f>
        <v>624000</v>
      </c>
    </row>
    <row r="32" spans="2:17" ht="20" customHeight="1" x14ac:dyDescent="0.2">
      <c r="B32" s="30" t="s">
        <v>121</v>
      </c>
      <c r="D32" s="33"/>
      <c r="E32" s="33"/>
      <c r="F32" s="33"/>
      <c r="G32" s="33"/>
      <c r="H32" s="33"/>
      <c r="I32" s="33"/>
      <c r="J32" s="33"/>
      <c r="K32" s="33"/>
      <c r="L32" s="33"/>
      <c r="M32" s="33"/>
      <c r="N32" s="33">
        <v>8000</v>
      </c>
      <c r="O32" s="33"/>
      <c r="P32" s="33"/>
      <c r="Q32" s="43">
        <f>SUM(D32:P32)</f>
        <v>8000</v>
      </c>
    </row>
    <row r="33" spans="2:17" ht="20" customHeight="1" x14ac:dyDescent="0.2">
      <c r="B33" s="30" t="s">
        <v>122</v>
      </c>
      <c r="D33" s="33"/>
      <c r="E33" s="33"/>
      <c r="F33" s="33"/>
      <c r="G33" s="33"/>
      <c r="H33" s="33"/>
      <c r="I33" s="33"/>
      <c r="J33" s="33"/>
      <c r="K33" s="33"/>
      <c r="L33" s="33"/>
      <c r="M33" s="33"/>
      <c r="N33" s="33"/>
      <c r="O33" s="33"/>
      <c r="P33" s="33"/>
      <c r="Q33" s="43">
        <f>SUM(D33:P33)</f>
        <v>0</v>
      </c>
    </row>
    <row r="34" spans="2:17" ht="14" x14ac:dyDescent="0.2">
      <c r="B34" s="41" t="s">
        <v>123</v>
      </c>
      <c r="C34" s="42"/>
      <c r="D34" s="42"/>
      <c r="E34" s="42"/>
      <c r="F34" s="42"/>
      <c r="G34" s="42"/>
      <c r="H34" s="42"/>
      <c r="I34" s="42"/>
      <c r="J34" s="42"/>
      <c r="K34" s="42"/>
      <c r="L34" s="42"/>
      <c r="M34" s="42"/>
      <c r="N34" s="42"/>
      <c r="O34" s="42"/>
      <c r="P34" s="42"/>
      <c r="Q34" s="42"/>
    </row>
    <row r="35" spans="2:17" ht="20" customHeight="1" x14ac:dyDescent="0.2">
      <c r="B35" s="30" t="s">
        <v>124</v>
      </c>
      <c r="D35" s="33"/>
      <c r="E35" s="33"/>
      <c r="F35" s="33"/>
      <c r="G35" s="33"/>
      <c r="H35" s="33"/>
      <c r="I35" s="33"/>
      <c r="J35" s="33"/>
      <c r="K35" s="33">
        <v>12000</v>
      </c>
      <c r="L35" s="33"/>
      <c r="M35" s="33"/>
      <c r="N35" s="33"/>
      <c r="O35" s="33"/>
      <c r="P35" s="33"/>
      <c r="Q35" s="43">
        <f t="shared" ref="Q35:Q41" si="0">SUM(D35:P35)</f>
        <v>12000</v>
      </c>
    </row>
    <row r="36" spans="2:17" ht="20" customHeight="1" x14ac:dyDescent="0.2">
      <c r="B36" s="30" t="s">
        <v>125</v>
      </c>
      <c r="D36" s="33"/>
      <c r="E36" s="33"/>
      <c r="F36" s="33"/>
      <c r="G36" s="33">
        <v>22880</v>
      </c>
      <c r="H36" s="33"/>
      <c r="I36" s="33"/>
      <c r="J36" s="33"/>
      <c r="K36" s="33"/>
      <c r="L36" s="33">
        <v>22880</v>
      </c>
      <c r="M36" s="33"/>
      <c r="N36" s="33"/>
      <c r="O36" s="33"/>
      <c r="P36" s="33">
        <v>22880</v>
      </c>
      <c r="Q36" s="43">
        <f t="shared" si="0"/>
        <v>68640</v>
      </c>
    </row>
    <row r="37" spans="2:17" ht="20" customHeight="1" x14ac:dyDescent="0.2">
      <c r="B37" s="30" t="s">
        <v>126</v>
      </c>
      <c r="D37" s="33">
        <v>11000</v>
      </c>
      <c r="E37" s="33">
        <v>9500</v>
      </c>
      <c r="F37" s="33">
        <v>12500</v>
      </c>
      <c r="G37" s="33">
        <v>10000</v>
      </c>
      <c r="H37" s="33">
        <v>13000</v>
      </c>
      <c r="I37" s="33">
        <v>9000</v>
      </c>
      <c r="J37" s="33">
        <v>14000</v>
      </c>
      <c r="K37" s="33">
        <v>10500</v>
      </c>
      <c r="L37" s="33">
        <v>6000</v>
      </c>
      <c r="M37" s="33">
        <v>4000</v>
      </c>
      <c r="N37" s="33">
        <v>12000</v>
      </c>
      <c r="O37" s="33">
        <v>11000</v>
      </c>
      <c r="P37" s="33">
        <v>12500</v>
      </c>
      <c r="Q37" s="43">
        <f t="shared" si="0"/>
        <v>135000</v>
      </c>
    </row>
    <row r="38" spans="2:17" ht="20" customHeight="1" x14ac:dyDescent="0.2">
      <c r="B38" s="30" t="s">
        <v>127</v>
      </c>
      <c r="D38" s="33">
        <v>9800</v>
      </c>
      <c r="E38" s="33"/>
      <c r="F38" s="33"/>
      <c r="G38" s="33"/>
      <c r="H38" s="33"/>
      <c r="I38" s="33">
        <v>9800</v>
      </c>
      <c r="J38" s="33"/>
      <c r="K38" s="33"/>
      <c r="L38" s="33"/>
      <c r="M38" s="33">
        <v>9800</v>
      </c>
      <c r="N38" s="33"/>
      <c r="O38" s="33"/>
      <c r="P38" s="33"/>
      <c r="Q38" s="43">
        <f t="shared" si="0"/>
        <v>29400</v>
      </c>
    </row>
    <row r="39" spans="2:17" ht="20" customHeight="1" x14ac:dyDescent="0.2">
      <c r="B39" s="30" t="s">
        <v>128</v>
      </c>
      <c r="D39" s="33"/>
      <c r="E39" s="33"/>
      <c r="F39" s="33">
        <v>4200</v>
      </c>
      <c r="G39" s="33"/>
      <c r="H39" s="33"/>
      <c r="I39" s="33"/>
      <c r="J39" s="33"/>
      <c r="K39" s="33">
        <v>4200</v>
      </c>
      <c r="L39" s="33"/>
      <c r="M39" s="33"/>
      <c r="N39" s="33"/>
      <c r="O39" s="33">
        <v>4200</v>
      </c>
      <c r="P39" s="33"/>
      <c r="Q39" s="43">
        <f t="shared" si="0"/>
        <v>12600</v>
      </c>
    </row>
    <row r="40" spans="2:17" ht="20" customHeight="1" x14ac:dyDescent="0.2">
      <c r="B40" s="30" t="s">
        <v>129</v>
      </c>
      <c r="D40" s="33"/>
      <c r="E40" s="33"/>
      <c r="F40" s="33"/>
      <c r="G40" s="33"/>
      <c r="H40" s="33">
        <v>38000</v>
      </c>
      <c r="I40" s="33"/>
      <c r="J40" s="33"/>
      <c r="K40" s="33"/>
      <c r="L40" s="33"/>
      <c r="M40" s="33"/>
      <c r="N40" s="33"/>
      <c r="O40" s="33"/>
      <c r="P40" s="33"/>
      <c r="Q40" s="43">
        <f t="shared" si="0"/>
        <v>38000</v>
      </c>
    </row>
    <row r="41" spans="2:17" ht="20" customHeight="1" x14ac:dyDescent="0.2">
      <c r="B41" s="30" t="s">
        <v>130</v>
      </c>
      <c r="D41" s="33">
        <v>3000</v>
      </c>
      <c r="E41" s="33">
        <v>3000</v>
      </c>
      <c r="F41" s="33">
        <v>3000</v>
      </c>
      <c r="G41" s="33">
        <v>3000</v>
      </c>
      <c r="H41" s="33">
        <v>3000</v>
      </c>
      <c r="I41" s="33">
        <v>3000</v>
      </c>
      <c r="J41" s="33">
        <v>3000</v>
      </c>
      <c r="K41" s="33">
        <v>3000</v>
      </c>
      <c r="L41" s="33">
        <v>3000</v>
      </c>
      <c r="M41" s="33">
        <v>3000</v>
      </c>
      <c r="N41" s="33">
        <v>3000</v>
      </c>
      <c r="O41" s="33">
        <v>3000</v>
      </c>
      <c r="P41" s="33">
        <v>3000</v>
      </c>
      <c r="Q41" s="43">
        <f t="shared" si="0"/>
        <v>39000</v>
      </c>
    </row>
    <row r="43" spans="2:17" ht="14" x14ac:dyDescent="0.2">
      <c r="B43" s="44" t="s">
        <v>131</v>
      </c>
    </row>
    <row r="44" spans="2:17" ht="14" x14ac:dyDescent="0.2">
      <c r="B44" s="44" t="s">
        <v>132</v>
      </c>
    </row>
  </sheetData>
  <mergeCells count="1">
    <mergeCell ref="D7:G7"/>
  </mergeCells>
  <dataValidations count="25">
    <dataValidation type="textLength" operator="lessThanOrEqual" allowBlank="1" showInputMessage="1" showErrorMessage="1" errorTitle="Check this entry" error="Keep the business name to 60 characters or fewer." promptTitle="Business name" prompt="Optional. Shows in the Dashboard title. Up to 60 characters." sqref="D7" xr:uid="{00000000-0002-0000-0100-000000000000}">
      <formula1>60</formula1>
    </dataValidation>
    <dataValidation type="date" allowBlank="1" showInputMessage="1" showErrorMessage="1" errorTitle="Check this entry" error="Type a date between 2024 and 2040, for example 26/10/2026." promptTitle="Week 1 start date" prompt="Type the Monday that week 1 starts, as a date. Example: 26/10/2026. Every week label follows from it." sqref="D8" xr:uid="{00000000-0002-0000-0100-000001000000}">
      <formula1>DATE(2024,1,1)</formula1>
      <formula2>DATE(2040,12,31)</formula2>
    </dataValidation>
    <dataValidation type="decimal" allowBlank="1" showInputMessage="1" showErrorMessage="1" errorTitle="Check this entry" error="Type a dollar amount as a plain number, for example 25000. No letters or dollar signs." promptTitle="Opening cash" prompt="Cleared funds across all business accounts on the day week 1 starts, in dollars. Example: 105000. Use a minus sign for an overdrawn balance." sqref="D9" xr:uid="{00000000-0002-0000-0100-000002000000}">
      <formula1>-1000000000</formula1>
      <formula2>1000000000</formula2>
    </dataValidation>
    <dataValidation type="decimal" allowBlank="1" showInputMessage="1" showErrorMessage="1" errorTitle="Check this entry" error="Type a dollar amount as a plain number, for example 25000. No letters or dollar signs." promptTitle="Minimum cash" prompt="The balance you never want to go below, in dollars. Example: 90000. Many founders start with a few weeks of payroll." sqref="D10" xr:uid="{00000000-0002-0000-0100-000003000000}">
      <formula1>0</formula1>
      <formula2>1000000000</formula2>
    </dataValidation>
    <dataValidation type="list" showInputMessage="1" showErrorMessage="1" errorTitle="Check this entry" error="Pick Base or Downside from the list." promptTitle="Scenario" prompt="Pick Base (receipts as you entered them) or Downside (receipts lower and later, set below)." sqref="D11" xr:uid="{00000000-0002-0000-0100-000004000000}">
      <formula1>"Base,Downside"</formula1>
    </dataValidation>
    <dataValidation type="decimal" allowBlank="1" showInputMessage="1" showErrorMessage="1" errorTitle="Check this entry" error="Type a dollar amount as a plain number, for example 25000. No letters or dollar signs." promptTitle="Gross wages per run" prompt="Total gross wages for one pay run, before tax is withheld and before super, in dollars. Example: 48000." sqref="D14" xr:uid="{00000000-0002-0000-0100-000005000000}">
      <formula1>0</formula1>
      <formula2>1000000000</formula2>
    </dataValidation>
    <dataValidation type="list" showInputMessage="1" showErrorMessage="1" errorTitle="Check this entry" error="Pick Weekly, Fortnightly or Monthly from the list." promptTitle="Pay frequency" prompt="Pick Weekly, Fortnightly or Monthly." sqref="D15" xr:uid="{00000000-0002-0000-0100-000006000000}">
      <formula1>"Weekly,Fortnightly,Monthly"</formula1>
    </dataValidation>
    <dataValidation type="date" allowBlank="1" showInputMessage="1" showErrorMessage="1" errorTitle="Check this entry" error="Type a date between 2024 and 2040, for example 29/10/2026." promptTitle="Next pay day" prompt="The date of the next pay run, on or after week 1 starts. Example: 29/10/2026. For monthly pay, later runs fall on the same day of each month (28th at the latest)." sqref="D16" xr:uid="{00000000-0002-0000-0100-000007000000}">
      <formula1>DATE(2024,1,1)</formula1>
      <formula2>DATE(2040,12,31)</formula2>
    </dataValidation>
    <dataValidation type="decimal" allowBlank="1" showInputMessage="1" showErrorMessage="1" errorTitle="Check this entry" error="Type a percentage between 0% and 60%, for example 12%." promptTitle="PAYG withholding" prompt="The average share of gross wages withheld for tax. Example: 22%. Your payroll report shows it. Staff are paid the rest; the withheld tax goes to the ATO on the row below the grid." sqref="D17" xr:uid="{00000000-0002-0000-0100-000008000000}">
      <formula1>0</formula1>
      <formula2>0.6</formula2>
    </dataValidation>
    <dataValidation type="decimal" allowBlank="1" showInputMessage="1" showErrorMessage="1" errorTitle="Check this entry" error="Type a percentage between 0% and 30%, for example 12%." promptTitle="Super guarantee" prompt="The super guarantee rate on ordinary time earnings. Example: 12%. Check the current rules with your accountant." sqref="D18" xr:uid="{00000000-0002-0000-0100-000009000000}">
      <formula1>0</formula1>
      <formula2>0.3</formula2>
    </dataValidation>
    <dataValidation type="decimal" allowBlank="1" showInputMessage="1" showErrorMessage="1" errorTitle="Check this entry" error="Type a percentage between 0% and 10%, for example 12%." promptTitle="Payroll tax rate" prompt="Your effective payroll tax rate on wages plus super. Rates and thresholds vary by state: enter your own effective rate, or 0 if you are under the threshold." sqref="D19" xr:uid="{00000000-0002-0000-0100-00000A000000}">
      <formula1>0</formula1>
      <formula2>0.1</formula2>
    </dataValidation>
    <dataValidation type="whole" allowBlank="1" showInputMessage="1" showErrorMessage="1" errorTitle="Check this entry" error="Type a whole number from 1 to 28." promptTitle="Payroll tax day" prompt="The day of the month payroll tax is paid. Example: 7. Use a number from 1 to 28." sqref="D20" xr:uid="{00000000-0002-0000-0100-00000B000000}">
      <formula1>1</formula1>
      <formula2>28</formula2>
    </dataValidation>
    <dataValidation type="decimal" allowBlank="1" showInputMessage="1" showErrorMessage="1" errorTitle="Check this entry" error="Type a dollar amount as a plain number, for example 25000. No letters or dollar signs." promptTitle="Weekly payroll override" prompt="Optional. Leave blank to use gross wages plus super plus payroll tax for one week. Or type the figure from the weeks of payroll covered calculator. Example: 27442." sqref="D21" xr:uid="{00000000-0002-0000-0100-00000C000000}">
      <formula1>0</formula1>
      <formula2>1000000000</formula2>
    </dataValidation>
    <dataValidation type="decimal" allowBlank="1" showInputMessage="1" showErrorMessage="1" errorTitle="Check this entry" error="Type a percentage between 0% and 100%, for example 12%." promptTitle="Receipts haircut" prompt="How much lower customer receipts are in the downside, as a percentage. Example: 10%. Use 0% to test a delay on its own." sqref="D24" xr:uid="{00000000-0002-0000-0100-00000D000000}">
      <formula1>0</formula1>
      <formula2>1</formula2>
    </dataValidation>
    <dataValidation type="whole" allowBlank="1" showInputMessage="1" showErrorMessage="1" errorTitle="Check this entry" error="Type a whole number of weeks from 0 to 8." promptTitle="Receipts delay" prompt="How many weeks later customers pay in the downside. Example: 1. A whole number from 0 to 8." sqref="D25" xr:uid="{00000000-0002-0000-0100-00000E000000}">
      <formula1>0</formula1>
      <formula2>8</formula2>
    </dataValidation>
    <dataValidation type="decimal" allowBlank="1" showInputMessage="1" showErrorMessage="1" errorTitle="Check this entry" error="Type a positive dollar amount, for example 12000, or leave the cell blank. Enter money out as a positive number." promptTitle="Customer receipts" prompt="What customers will pay into the bank this week, including GST. Count invoices you expect to be paid, not sales you hope for. Example: 56000." sqref="D31:P31" xr:uid="{00000000-0002-0000-0100-00000F000000}">
      <formula1>0</formula1>
      <formula2>1000000000</formula2>
    </dataValidation>
    <dataValidation type="decimal" allowBlank="1" showInputMessage="1" showErrorMessage="1" errorTitle="Check this entry" error="Type a positive dollar amount, for example 12000, or leave the cell blank. Enter money out as a positive number." promptTitle="Other income" prompt="Other money coming in this week, in dollars: a tax refund, a grant instalment, interest. Example: 8000. Leave blank or 0 if none." sqref="D32:P32" xr:uid="{00000000-0002-0000-0100-000010000000}">
      <formula1>0</formula1>
      <formula2>1000000000</formula2>
    </dataValidation>
    <dataValidation type="decimal" allowBlank="1" showInputMessage="1" showErrorMessage="1" errorTitle="Check this entry" error="Type a positive dollar amount, for example 12000, or leave the cell blank. Enter money out as a positive number." promptTitle="Finance in" prompt="Money from a loan drawdown or from the owners this week, in dollars. Example: 50000. Leave blank or 0 if none." sqref="D33:P33" xr:uid="{00000000-0002-0000-0100-000011000000}">
      <formula1>0</formula1>
      <formula2>1000000000</formula2>
    </dataValidation>
    <dataValidation type="decimal" allowBlank="1" showInputMessage="1" showErrorMessage="1" errorTitle="Check this entry" error="Type a positive dollar amount, for example 12000, or leave the cell blank. Enter money out as a positive number." promptTitle="Other payroll" prompt="Payroll on top of the regular pay run this week, in dollars: a bonus, a leave payout, a new starter. Example: 12000." sqref="D35:P35" xr:uid="{00000000-0002-0000-0100-000012000000}">
      <formula1>0</formula1>
      <formula2>1000000000</formula2>
    </dataValidation>
    <dataValidation type="decimal" allowBlank="1" showInputMessage="1" showErrorMessage="1" errorTitle="Check this entry" error="Type a positive dollar amount, for example 12000, or leave the cell blank. Enter money out as a positive number." promptTitle="PAYG withholding paid" prompt="Withheld tax paid to the ATO this week, in dollars, in the week you pay it. Example: 22880. Monthly or quarterly, depending on your withholder size." sqref="D36:P36" xr:uid="{00000000-0002-0000-0100-000013000000}">
      <formula1>0</formula1>
      <formula2>1000000000</formula2>
    </dataValidation>
    <dataValidation type="decimal" allowBlank="1" showInputMessage="1" showErrorMessage="1" errorTitle="Check this entry" error="Type a positive dollar amount, for example 12000, or leave the cell blank. Enter money out as a positive number." promptTitle="Suppliers" prompt="What you will pay suppliers and subcontractors this week, including GST. Example: 11000." sqref="D37:P37" xr:uid="{00000000-0002-0000-0100-000014000000}">
      <formula1>0</formula1>
      <formula2>1000000000</formula2>
    </dataValidation>
    <dataValidation type="decimal" allowBlank="1" showInputMessage="1" showErrorMessage="1" errorTitle="Check this entry" error="Type a positive dollar amount, for example 12000, or leave the cell blank. Enter money out as a positive number." promptTitle="Rent" prompt="Rent, outgoings and other occupancy costs paid this week, in dollars. Example: 9800." sqref="D38:P38" xr:uid="{00000000-0002-0000-0100-000015000000}">
      <formula1>0</formula1>
      <formula2>1000000000</formula2>
    </dataValidation>
    <dataValidation type="decimal" allowBlank="1" showInputMessage="1" showErrorMessage="1" errorTitle="Check this entry" error="Type a positive dollar amount, for example 12000, or leave the cell blank. Enter money out as a positive number." promptTitle="Loan repayments" prompt="Loan, lease and finance repayments this week, in dollars. Example: 4200." sqref="D39:P39" xr:uid="{00000000-0002-0000-0100-000016000000}">
      <formula1>0</formula1>
      <formula2>1000000000</formula2>
    </dataValidation>
    <dataValidation type="decimal" allowBlank="1" showInputMessage="1" showErrorMessage="1" errorTitle="Check this entry" error="Type a positive dollar amount, for example 12000, or leave the cell blank. Enter money out as a positive number." promptTitle="GST and BAS" prompt="GST and other BAS amounts paid to the ATO this week, in dollars, in the week you pay. Example: 38000." sqref="D40:P40" xr:uid="{00000000-0002-0000-0100-000017000000}">
      <formula1>0</formula1>
      <formula2>1000000000</formula2>
    </dataValidation>
    <dataValidation type="decimal" allowBlank="1" showInputMessage="1" showErrorMessage="1" errorTitle="Check this entry" error="Type a positive dollar amount, for example 12000, or leave the cell blank. Enter money out as a positive number." promptTitle="Other payments" prompt="Everything else leaving the bank this week, in dollars: insurance, software, owner drawings. Example: 3000." sqref="D41:P41" xr:uid="{00000000-0002-0000-0100-000018000000}">
      <formula1>0</formula1>
      <formula2>1000000000</formula2>
    </dataValidation>
  </dataValidations>
  <printOptions horizontalCentered="1"/>
  <pageMargins left="0.45" right="0.45" top="0.75" bottom="0.65" header="0.3" footer="0.3"/>
  <pageSetup paperSize="9" orientation="landscape"/>
  <headerFooter>
    <oddHeader>&amp;L&amp;8 &amp;K5F667313-Week Cash Flow Template&amp;R&amp;8 &amp;K5F6673Ivanka Menken, Strategic Mentor</oddHeader>
    <oddFooter>&amp;L&amp;8 &amp;K5F6673https://ivankamenken.com&amp;C&amp;8 &amp;K5F6673Page &amp;P of &amp;N&amp;R&amp;8 &amp;K5F6673&amp;A</oddFooter>
    <evenHeader>&amp;L&amp;8 &amp;K5F667313-Week Cash Flow Template&amp;R&amp;8 &amp;K5F6673Ivanka Menken, Strategic Mentor</evenHeader>
    <evenFooter>&amp;L&amp;8 &amp;K5F6673https://ivankamenken.com&amp;C&amp;8 &amp;K5F6673Page &amp;P of &amp;N&amp;R&amp;8 &amp;K5F6673&amp;A</even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F4A7A"/>
    <pageSetUpPr fitToPage="1"/>
  </sheetPr>
  <dimension ref="B2:P51"/>
  <sheetViews>
    <sheetView showGridLines="0" workbookViewId="0"/>
  </sheetViews>
  <sheetFormatPr baseColWidth="10" defaultColWidth="9" defaultRowHeight="18" customHeight="1" x14ac:dyDescent="0.2"/>
  <cols>
    <col min="1" max="1" width="2.3984375" customWidth="1"/>
    <col min="2" max="16" width="10.19921875" customWidth="1"/>
    <col min="17" max="17" width="2.3984375" customWidth="1"/>
  </cols>
  <sheetData>
    <row r="2" spans="2:16" ht="34" customHeight="1" x14ac:dyDescent="0.35">
      <c r="B2" s="45" t="str">
        <f>IF(Inputs!$D$7="","13-week cash flow",Inputs!$D$7&amp;": 13-week cash flow")</f>
        <v>13-week cash flow</v>
      </c>
    </row>
    <row r="3" spans="2:16" ht="14" x14ac:dyDescent="0.2">
      <c r="B3" s="46" t="str">
        <f>"Weeks starting "&amp;DAY('Cash flow'!$D$6)&amp;" "&amp;CHOOSE(MONTH('Cash flow'!$D$6),"Jan","Feb","Mar","Apr","May","Jun","Jul","Aug","Sep","Oct","Nov","Dec")&amp;" to "&amp;DAY('Cash flow'!$P$6)&amp;" "&amp;CHOOSE(MONTH('Cash flow'!$P$6),"Jan","Feb","Mar","Apr","May","Jun","Jul","Aug","Sep","Oct","Nov","Dec")&amp;". Scenario shown: "&amp;Inputs!$D$11&amp;"."</f>
        <v>Weeks starting 26 Oct to 18 Jan. Scenario shown: Base.</v>
      </c>
      <c r="C3" s="28"/>
      <c r="D3" s="28"/>
      <c r="E3" s="28"/>
      <c r="F3" s="28"/>
      <c r="G3" s="28"/>
      <c r="H3" s="28"/>
      <c r="I3" s="28"/>
      <c r="J3" s="28"/>
      <c r="K3" s="28"/>
      <c r="L3" s="28"/>
      <c r="M3" s="28"/>
      <c r="N3" s="28"/>
      <c r="O3" s="28"/>
      <c r="P3" s="28"/>
    </row>
    <row r="5" spans="2:16" ht="28" customHeight="1" x14ac:dyDescent="0.2">
      <c r="B5" s="6" t="s">
        <v>133</v>
      </c>
      <c r="C5" s="86" t="str">
        <f>IF(Checks!$D$5&gt;0,"Check inputs",IF(COUNTIF('Cash flow'!$D$31:$P$31,"Below zero")&gt;0,"Action needed",IF(COUNTIF('Cash flow'!$D$31:$P$31,"Below min")+COUNTIF('Cash flow'!$D$31:$P$31,"Below zero")&gt;0,"Watch","On track")))</f>
        <v>Watch</v>
      </c>
      <c r="D5" s="73"/>
      <c r="E5" s="99" t="str">
        <f>IF(Checks!$D$5&gt;0,"Some inputs need a fix: the Checks sheet lists what to change. The readings below wait until they pass.",IF(C5="Action needed","Closing cash goes below zero in at least one week. Plan the action for that week now.",IF(C5="Watch","Closing cash dips below your minimum in at least one week, but stays above zero. Watch those weeks.","Closing cash stays at or above your minimum in every week shown.")))</f>
        <v>Closing cash dips below your minimum in at least one week, but stays above zero. Watch those weeks.</v>
      </c>
      <c r="F5" s="73"/>
      <c r="G5" s="73"/>
      <c r="H5" s="73"/>
      <c r="I5" s="73"/>
      <c r="J5" s="73"/>
      <c r="K5" s="73"/>
      <c r="L5" s="73"/>
      <c r="M5" s="73"/>
      <c r="N5" s="73"/>
      <c r="O5" s="73"/>
      <c r="P5" s="73"/>
    </row>
    <row r="7" spans="2:16" ht="26" customHeight="1" x14ac:dyDescent="0.2">
      <c r="B7" s="91" t="s">
        <v>134</v>
      </c>
      <c r="C7" s="92"/>
      <c r="D7" s="92"/>
      <c r="E7" s="91" t="s">
        <v>135</v>
      </c>
      <c r="F7" s="92"/>
      <c r="G7" s="92"/>
      <c r="H7" s="91" t="s">
        <v>136</v>
      </c>
      <c r="I7" s="92"/>
      <c r="J7" s="92"/>
      <c r="K7" s="91" t="s">
        <v>137</v>
      </c>
      <c r="L7" s="92"/>
      <c r="M7" s="92"/>
      <c r="N7" s="91" t="s">
        <v>138</v>
      </c>
      <c r="O7" s="92"/>
      <c r="P7" s="92"/>
    </row>
    <row r="8" spans="2:16" ht="40" customHeight="1" x14ac:dyDescent="0.2">
      <c r="B8" s="85">
        <f>MIN('Cash flow'!$D$27:$P$27)</f>
        <v>85119.199999999983</v>
      </c>
      <c r="C8" s="73"/>
      <c r="D8" s="73"/>
      <c r="E8" s="85">
        <f>MIN('Cash flow'!$D$27:$P$27)-Inputs!$D$10</f>
        <v>-4880.8000000000175</v>
      </c>
      <c r="F8" s="73"/>
      <c r="G8" s="73"/>
      <c r="H8" s="97">
        <f>MIN('Cash flow'!$D$30:$P$30)</f>
        <v>3.1430639253219885</v>
      </c>
      <c r="I8" s="73"/>
      <c r="J8" s="73"/>
      <c r="K8" s="94">
        <f>COUNTIF('Cash flow'!$D$31:$P$31,"Below min")+COUNTIF('Cash flow'!$D$31:$P$31,"Below zero")</f>
        <v>2</v>
      </c>
      <c r="L8" s="73"/>
      <c r="M8" s="73"/>
      <c r="N8" s="85">
        <f>'Cash flow'!$P$27</f>
        <v>97339.199999999983</v>
      </c>
      <c r="O8" s="73"/>
      <c r="P8" s="73"/>
    </row>
    <row r="9" spans="2:16" ht="30" customHeight="1" x14ac:dyDescent="0.2">
      <c r="B9" s="88" t="str">
        <f>IF(Checks!$D$5&gt;0,"","In week "&amp;INDEX('Cash flow'!$D$34:$P$34,1,MATCH(MIN('Cash flow'!$D$27:$P$27),'Cash flow'!$D$27:$P$27,0))&amp;", starting "&amp;DAY(INDEX('Cash flow'!$D$6:$P$6,1,INDEX('Cash flow'!$D$34:$P$34,1,MATCH(MIN('Cash flow'!$D$27:$P$27),'Cash flow'!$D$27:$P$27,0))))&amp;" "&amp;CHOOSE(MONTH(INDEX('Cash flow'!$D$6:$P$6,1,INDEX('Cash flow'!$D$34:$P$34,1,MATCH(MIN('Cash flow'!$D$27:$P$27),'Cash flow'!$D$27:$P$27,0)))),"Jan","Feb","Mar","Apr","May","Jun","Jul","Aug","Sep","Oct","Nov","Dec"))</f>
        <v>In week 11, starting 4 Jan</v>
      </c>
      <c r="C9" s="75"/>
      <c r="D9" s="75"/>
      <c r="E9" s="88" t="str">
        <f>IF(Checks!$D$5&gt;0,"","Against your minimum of "&amp;IF((Inputs!$D$10)&lt;0,"minus $"&amp;FIXED(-(Inputs!$D$10),0),"$"&amp;FIXED(Inputs!$D$10,0)))</f>
        <v>Against your minimum of $90,000</v>
      </c>
      <c r="F9" s="75"/>
      <c r="G9" s="75"/>
      <c r="H9" s="88" t="str">
        <f>IF(Checks!$D$5&gt;0,"","One week of payroll is "&amp;IF(('Cash flow'!$D$49)&lt;0,"minus $"&amp;FIXED(-('Cash flow'!$D$49),0),"$"&amp;FIXED('Cash flow'!$D$49,0)))</f>
        <v>One week of payroll is $27,082</v>
      </c>
      <c r="I9" s="75"/>
      <c r="J9" s="75"/>
      <c r="K9" s="88" t="str">
        <f>IF(Checks!$D$5&gt;0,"",IF(COUNTIF('Cash flow'!$D$31:$P$31,"Below zero")&gt;0,COUNTIF('Cash flow'!$D$31:$P$31,"Below zero")&amp;" of them below zero","None below zero"))</f>
        <v>None below zero</v>
      </c>
      <c r="L9" s="75"/>
      <c r="M9" s="75"/>
      <c r="N9" s="88" t="str">
        <f>IF(Checks!$D$5&gt;0,"",IF('Cash flow'!$P$27&gt;=Inputs!$D$9,"Up ","Down ")&amp;IF((ABS('Cash flow'!$P$27-Inputs!$D$9))&lt;0,"minus $"&amp;FIXED(-(ABS('Cash flow'!$P$27-Inputs!$D$9)),0),"$"&amp;FIXED(ABS('Cash flow'!$P$27-Inputs!$D$9),0))&amp;" on opening cash")</f>
        <v>Down $7,661 on opening cash</v>
      </c>
      <c r="O9" s="75"/>
      <c r="P9" s="75"/>
    </row>
    <row r="11" spans="2:16" ht="22" customHeight="1" x14ac:dyDescent="0.2">
      <c r="B11" s="9" t="s">
        <v>139</v>
      </c>
      <c r="C11" s="1"/>
      <c r="D11" s="1"/>
      <c r="E11" s="1"/>
      <c r="F11" s="1"/>
      <c r="G11" s="1"/>
      <c r="H11" s="1"/>
      <c r="I11" s="1"/>
      <c r="J11" s="1"/>
      <c r="K11" s="1"/>
      <c r="L11" s="1"/>
      <c r="M11" s="1"/>
      <c r="N11" s="1"/>
      <c r="O11" s="1"/>
      <c r="P11" s="1"/>
    </row>
    <row r="12" spans="2:16" ht="22" customHeight="1" x14ac:dyDescent="0.2">
      <c r="B12" s="80" t="str">
        <f>IF(Checks!$D$5&gt;0,"Readings are on hold until every row on the Checks sheet reads Pass.","Tightest week: week "&amp;INDEX('Cash flow'!$D$34:$P$34,1,MATCH(MIN('Cash flow'!$D$27:$P$27),'Cash flow'!$D$27:$P$27,0))&amp;" (starting "&amp;DAY(INDEX('Cash flow'!$D$6:$P$6,1,INDEX('Cash flow'!$D$34:$P$34,1,MATCH(MIN('Cash flow'!$D$27:$P$27),'Cash flow'!$D$27:$P$27,0))))&amp;" "&amp;CHOOSE(MONTH(INDEX('Cash flow'!$D$6:$P$6,1,INDEX('Cash flow'!$D$34:$P$34,1,MATCH(MIN('Cash flow'!$D$27:$P$27),'Cash flow'!$D$27:$P$27,0)))),"Jan","Feb","Mar","Apr","May","Jun","Jul","Aug","Sep","Oct","Nov","Dec")&amp;"), when closing cash falls to "&amp;IF((MIN('Cash flow'!$D$27:$P$27))&lt;0,"minus $"&amp;FIXED(-(MIN('Cash flow'!$D$27:$P$27)),0),"$"&amp;FIXED(MIN('Cash flow'!$D$27:$P$27),0))&amp;IF(MIN('Cash flow'!$D$27:$P$27)&lt;Inputs!$D$10,", "&amp;IF((Inputs!$D$10-MIN('Cash flow'!$D$27:$P$27))&lt;0,"minus $"&amp;FIXED(-(Inputs!$D$10-MIN('Cash flow'!$D$27:$P$27)),0),"$"&amp;FIXED(Inputs!$D$10-MIN('Cash flow'!$D$27:$P$27),0))&amp;" below your "&amp;IF((Inputs!$D$10)&lt;0,"minus $"&amp;FIXED(-(Inputs!$D$10),0),"$"&amp;FIXED(Inputs!$D$10,0))&amp;" minimum.",", "&amp;IF((MIN('Cash flow'!$D$27:$P$27)-Inputs!$D$10)&lt;0,"minus $"&amp;FIXED(-(MIN('Cash flow'!$D$27:$P$27)-Inputs!$D$10),0),"$"&amp;FIXED(MIN('Cash flow'!$D$27:$P$27)-Inputs!$D$10,0))&amp;" above your "&amp;IF((Inputs!$D$10)&lt;0,"minus $"&amp;FIXED(-(Inputs!$D$10),0),"$"&amp;FIXED(Inputs!$D$10,0))&amp;" minimum."))</f>
        <v>Tightest week: week 11 (starting 4 Jan), when closing cash falls to $85,119, $4,881 below your $90,000 minimum.</v>
      </c>
      <c r="C12" s="73"/>
      <c r="D12" s="73"/>
      <c r="E12" s="73"/>
      <c r="F12" s="73"/>
      <c r="G12" s="73"/>
      <c r="H12" s="73"/>
      <c r="I12" s="73"/>
      <c r="J12" s="73"/>
      <c r="K12" s="73"/>
      <c r="L12" s="73"/>
      <c r="M12" s="73"/>
      <c r="N12" s="73"/>
      <c r="O12" s="73"/>
      <c r="P12" s="73"/>
    </row>
    <row r="13" spans="2:16" ht="22" customHeight="1" x14ac:dyDescent="0.2">
      <c r="B13" s="80" t="str">
        <f>IF(Checks!$D$5&gt;0,"",IF(COUNTIF('Cash flow'!$D$31:$P$31,"Below min")+COUNTIF('Cash flow'!$D$31:$P$31,"Below zero")=0,"Closing cash stays at or above your minimum in all 13 weeks.","Closing cash is below your minimum in "&amp;COUNTIF('Cash flow'!$D$31:$P$31,"Below min")+COUNTIF('Cash flow'!$D$31:$P$31,"Below zero")&amp;" of the 13 weeks"&amp;IF(COUNTIF('Cash flow'!$D$31:$P$31,"Below zero")&gt;0,", and below zero in "&amp;COUNTIF('Cash flow'!$D$31:$P$31,"Below zero")&amp;".",".")))</f>
        <v>Closing cash is below your minimum in 2 of the 13 weeks.</v>
      </c>
      <c r="C13" s="73"/>
      <c r="D13" s="73"/>
      <c r="E13" s="73"/>
      <c r="F13" s="73"/>
      <c r="G13" s="73"/>
      <c r="H13" s="73"/>
      <c r="I13" s="73"/>
      <c r="J13" s="73"/>
      <c r="K13" s="73"/>
      <c r="L13" s="73"/>
      <c r="M13" s="73"/>
      <c r="N13" s="73"/>
      <c r="O13" s="73"/>
      <c r="P13" s="73"/>
    </row>
    <row r="14" spans="2:16" ht="22" customHeight="1" x14ac:dyDescent="0.2">
      <c r="B14" s="80" t="str">
        <f>IF(Checks!$D$5&gt;0,"","Lowest cover: "&amp;FIXED(MIN('Cash flow'!$D$30:$P$30),1)&amp;" weeks of payroll, in week "&amp;INDEX('Cash flow'!$D$34:$P$34,1,MATCH(MIN('Cash flow'!$D$30:$P$30),'Cash flow'!$D$30:$P$30,0))&amp;". One week of payroll (wages, super and payroll tax) is "&amp;IF(('Cash flow'!$D$49)&lt;0,"minus $"&amp;FIXED(-('Cash flow'!$D$49),0),"$"&amp;FIXED('Cash flow'!$D$49,0))&amp;".")</f>
        <v>Lowest cover: 3.1 weeks of payroll, in week 11. One week of payroll (wages, super and payroll tax) is $27,082.</v>
      </c>
      <c r="C14" s="73"/>
      <c r="D14" s="73"/>
      <c r="E14" s="73"/>
      <c r="F14" s="73"/>
      <c r="G14" s="73"/>
      <c r="H14" s="73"/>
      <c r="I14" s="73"/>
      <c r="J14" s="73"/>
      <c r="K14" s="73"/>
      <c r="L14" s="73"/>
      <c r="M14" s="73"/>
      <c r="N14" s="73"/>
      <c r="O14" s="73"/>
      <c r="P14" s="73"/>
    </row>
    <row r="15" spans="2:16" ht="22" customHeight="1" x14ac:dyDescent="0.2">
      <c r="B15" s="80" t="str">
        <f>IF(Checks!$D$5&gt;0,"",IF(Inputs!$D$11="Base","In the downside (receipts "&amp;FIXED((Inputs!$D$24)*100,1)&amp;"%"&amp;" lower and "&amp;Inputs!$D$25&amp;IF(Inputs!$D$25=1," week"," weeks")&amp;" later), the lowest closing cash would be "&amp;IF((MIN('Cash flow'!$D$42:$P$42))&lt;0,"minus $"&amp;FIXED(-(MIN('Cash flow'!$D$42:$P$42)),0),"$"&amp;FIXED(MIN('Cash flow'!$D$42:$P$42),0))&amp;". Switch the scenario on the Inputs sheet to see it.","In the base case the lowest closing cash would be "&amp;IF((MIN('Cash flow'!$D$41:$P$41))&lt;0,"minus $"&amp;FIXED(-(MIN('Cash flow'!$D$41:$P$41)),0),"$"&amp;FIXED(MIN('Cash flow'!$D$41:$P$41),0))&amp;". The downside is a stress test, not a forecast."))</f>
        <v>In the downside (receipts 10.0% lower and 1 week later), the lowest closing cash would be minus $13,661. Switch the scenario on the Inputs sheet to see it.</v>
      </c>
      <c r="C15" s="73"/>
      <c r="D15" s="73"/>
      <c r="E15" s="73"/>
      <c r="F15" s="73"/>
      <c r="G15" s="73"/>
      <c r="H15" s="73"/>
      <c r="I15" s="73"/>
      <c r="J15" s="73"/>
      <c r="K15" s="73"/>
      <c r="L15" s="73"/>
      <c r="M15" s="73"/>
      <c r="N15" s="73"/>
      <c r="O15" s="73"/>
      <c r="P15" s="73"/>
    </row>
    <row r="16" spans="2:16" ht="22" customHeight="1" x14ac:dyDescent="0.2">
      <c r="B16" s="98" t="str">
        <f>"The question for every money-in figure: is it evidence or hope? Once a month, the closing figure becomes scorecard number 1, weeks of payroll covered."</f>
        <v>The question for every money-in figure: is it evidence or hope? Once a month, the closing figure becomes scorecard number 1, weeks of payroll covered.</v>
      </c>
      <c r="C16" s="73"/>
      <c r="D16" s="73"/>
      <c r="E16" s="73"/>
      <c r="F16" s="73"/>
      <c r="G16" s="73"/>
      <c r="H16" s="73"/>
      <c r="I16" s="73"/>
      <c r="J16" s="73"/>
      <c r="K16" s="73"/>
      <c r="L16" s="73"/>
      <c r="M16" s="73"/>
      <c r="N16" s="73"/>
      <c r="O16" s="73"/>
      <c r="P16" s="73"/>
    </row>
    <row r="18" spans="2:16" ht="22" customHeight="1" x14ac:dyDescent="0.2">
      <c r="B18" s="9" t="s">
        <v>140</v>
      </c>
      <c r="C18" s="1"/>
      <c r="D18" s="1"/>
      <c r="E18" s="1"/>
      <c r="F18" s="1"/>
      <c r="G18" s="1"/>
      <c r="H18" s="1"/>
      <c r="I18" s="1"/>
      <c r="J18" s="9" t="s">
        <v>141</v>
      </c>
      <c r="K18" s="1"/>
      <c r="L18" s="1"/>
      <c r="M18" s="1"/>
      <c r="N18" s="1"/>
      <c r="O18" s="1"/>
      <c r="P18" s="1"/>
    </row>
    <row r="36" spans="2:16" ht="22" customHeight="1" x14ac:dyDescent="0.2">
      <c r="B36" s="9" t="s">
        <v>142</v>
      </c>
      <c r="C36" s="1"/>
      <c r="D36" s="1"/>
      <c r="E36" s="1"/>
      <c r="F36" s="1"/>
      <c r="G36" s="1"/>
      <c r="H36" s="1"/>
      <c r="I36" s="1"/>
      <c r="J36" s="1"/>
      <c r="K36" s="1"/>
      <c r="L36" s="1"/>
      <c r="M36" s="1"/>
      <c r="N36" s="1"/>
      <c r="O36" s="1"/>
      <c r="P36" s="1"/>
    </row>
    <row r="37" spans="2:16" ht="14" x14ac:dyDescent="0.2">
      <c r="B37" s="78" t="s">
        <v>103</v>
      </c>
      <c r="C37" s="79"/>
      <c r="D37" s="38" t="s">
        <v>143</v>
      </c>
      <c r="E37" s="38" t="s">
        <v>144</v>
      </c>
      <c r="F37" s="38" t="s">
        <v>145</v>
      </c>
      <c r="G37" s="38" t="s">
        <v>146</v>
      </c>
      <c r="H37" s="38" t="s">
        <v>147</v>
      </c>
      <c r="I37" s="38" t="s">
        <v>148</v>
      </c>
      <c r="J37" s="38" t="s">
        <v>149</v>
      </c>
      <c r="K37" s="38" t="s">
        <v>150</v>
      </c>
      <c r="L37" s="38" t="s">
        <v>151</v>
      </c>
      <c r="M37" s="38" t="s">
        <v>152</v>
      </c>
      <c r="N37" s="38" t="s">
        <v>153</v>
      </c>
      <c r="O37" s="38" t="s">
        <v>154</v>
      </c>
      <c r="P37" s="38" t="s">
        <v>155</v>
      </c>
    </row>
    <row r="38" spans="2:16" ht="20" customHeight="1" x14ac:dyDescent="0.2">
      <c r="B38" s="87" t="s">
        <v>118</v>
      </c>
      <c r="C38" s="73"/>
      <c r="D38" s="40">
        <f>'Cash flow'!$D$6</f>
        <v>46321</v>
      </c>
      <c r="E38" s="40">
        <f>'Cash flow'!$E$6</f>
        <v>46328</v>
      </c>
      <c r="F38" s="40">
        <f>'Cash flow'!$F$6</f>
        <v>46335</v>
      </c>
      <c r="G38" s="40">
        <f>'Cash flow'!$G$6</f>
        <v>46342</v>
      </c>
      <c r="H38" s="40">
        <f>'Cash flow'!$H$6</f>
        <v>46349</v>
      </c>
      <c r="I38" s="40">
        <f>'Cash flow'!$I$6</f>
        <v>46356</v>
      </c>
      <c r="J38" s="40">
        <f>'Cash flow'!$J$6</f>
        <v>46363</v>
      </c>
      <c r="K38" s="40">
        <f>'Cash flow'!$K$6</f>
        <v>46370</v>
      </c>
      <c r="L38" s="40">
        <f>'Cash flow'!$L$6</f>
        <v>46377</v>
      </c>
      <c r="M38" s="40">
        <f>'Cash flow'!$M$6</f>
        <v>46384</v>
      </c>
      <c r="N38" s="40">
        <f>'Cash flow'!$N$6</f>
        <v>46391</v>
      </c>
      <c r="O38" s="40">
        <f>'Cash flow'!$O$6</f>
        <v>46398</v>
      </c>
      <c r="P38" s="40">
        <f>'Cash flow'!$P$6</f>
        <v>46405</v>
      </c>
    </row>
    <row r="39" spans="2:16" ht="20" customHeight="1" x14ac:dyDescent="0.2">
      <c r="B39" s="93" t="s">
        <v>156</v>
      </c>
      <c r="C39" s="73"/>
      <c r="D39" s="48">
        <f>'Cash flow'!$D$27</f>
        <v>94000</v>
      </c>
      <c r="E39" s="48">
        <f>'Cash flow'!$E$27</f>
        <v>124626.4</v>
      </c>
      <c r="F39" s="48">
        <f>'Cash flow'!$F$27</f>
        <v>113726.39999999999</v>
      </c>
      <c r="G39" s="48">
        <f>'Cash flow'!$G$27</f>
        <v>138846.39999999999</v>
      </c>
      <c r="H39" s="48">
        <f>'Cash flow'!$H$27</f>
        <v>88646.399999999994</v>
      </c>
      <c r="I39" s="48">
        <f>'Cash flow'!$I$27</f>
        <v>121846.39999999999</v>
      </c>
      <c r="J39" s="48">
        <f>'Cash flow'!$J$27</f>
        <v>123772.79999999999</v>
      </c>
      <c r="K39" s="48">
        <f>'Cash flow'!$K$27</f>
        <v>144072.79999999999</v>
      </c>
      <c r="L39" s="48">
        <f>'Cash flow'!$L$27</f>
        <v>94992.799999999988</v>
      </c>
      <c r="M39" s="48">
        <f>'Cash flow'!$M$27</f>
        <v>93192.799999999988</v>
      </c>
      <c r="N39" s="48">
        <f>'Cash flow'!$N$27</f>
        <v>85119.199999999983</v>
      </c>
      <c r="O39" s="48">
        <f>'Cash flow'!$O$27</f>
        <v>124919.19999999998</v>
      </c>
      <c r="P39" s="48">
        <f>'Cash flow'!$P$27</f>
        <v>97339.199999999983</v>
      </c>
    </row>
    <row r="40" spans="2:16" ht="20" customHeight="1" x14ac:dyDescent="0.2">
      <c r="B40" s="84" t="s">
        <v>157</v>
      </c>
      <c r="C40" s="73"/>
      <c r="D40" s="49">
        <f>'Cash flow'!$D$30</f>
        <v>3.4709913742171801</v>
      </c>
      <c r="E40" s="49">
        <f>'Cash flow'!$E$30</f>
        <v>4.6018846744653183</v>
      </c>
      <c r="F40" s="49">
        <f>'Cash flow'!$F$30</f>
        <v>4.199397376816731</v>
      </c>
      <c r="G40" s="49">
        <f>'Cash flow'!$G$30</f>
        <v>5.1269644334160454</v>
      </c>
      <c r="H40" s="49">
        <f>'Cash flow'!$H$30</f>
        <v>3.2733073378234661</v>
      </c>
      <c r="I40" s="49">
        <f>'Cash flow'!$I$30</f>
        <v>4.4992319508448526</v>
      </c>
      <c r="J40" s="49">
        <f>'Cash flow'!$J$30</f>
        <v>4.5703651187522141</v>
      </c>
      <c r="K40" s="49">
        <f>'Cash flow'!$K$30</f>
        <v>5.3199515538225199</v>
      </c>
      <c r="L40" s="49">
        <f>'Cash flow'!$L$30</f>
        <v>3.507650951199337</v>
      </c>
      <c r="M40" s="49">
        <f>'Cash flow'!$M$30</f>
        <v>3.4411851589270932</v>
      </c>
      <c r="N40" s="49">
        <f>'Cash flow'!$N$30</f>
        <v>3.1430639253219885</v>
      </c>
      <c r="O40" s="49">
        <f>'Cash flow'!$O$30</f>
        <v>4.6126964433416031</v>
      </c>
      <c r="P40" s="49">
        <f>'Cash flow'!$P$30</f>
        <v>3.5942928039702218</v>
      </c>
    </row>
    <row r="41" spans="2:16" ht="20" customHeight="1" x14ac:dyDescent="0.2">
      <c r="B41" s="84" t="s">
        <v>158</v>
      </c>
      <c r="C41" s="73"/>
      <c r="D41" s="50" t="str">
        <f>IF(D39&lt;0,"Below zero",IF(D39&lt;Inputs!$D$10,"Below","OK"))</f>
        <v>OK</v>
      </c>
      <c r="E41" s="50" t="str">
        <f>IF(E39&lt;0,"Below zero",IF(E39&lt;Inputs!$D$10,"Below","OK"))</f>
        <v>OK</v>
      </c>
      <c r="F41" s="50" t="str">
        <f>IF(F39&lt;0,"Below zero",IF(F39&lt;Inputs!$D$10,"Below","OK"))</f>
        <v>OK</v>
      </c>
      <c r="G41" s="50" t="str">
        <f>IF(G39&lt;0,"Below zero",IF(G39&lt;Inputs!$D$10,"Below","OK"))</f>
        <v>OK</v>
      </c>
      <c r="H41" s="50" t="str">
        <f>IF(H39&lt;0,"Below zero",IF(H39&lt;Inputs!$D$10,"Below","OK"))</f>
        <v>Below</v>
      </c>
      <c r="I41" s="50" t="str">
        <f>IF(I39&lt;0,"Below zero",IF(I39&lt;Inputs!$D$10,"Below","OK"))</f>
        <v>OK</v>
      </c>
      <c r="J41" s="50" t="str">
        <f>IF(J39&lt;0,"Below zero",IF(J39&lt;Inputs!$D$10,"Below","OK"))</f>
        <v>OK</v>
      </c>
      <c r="K41" s="50" t="str">
        <f>IF(K39&lt;0,"Below zero",IF(K39&lt;Inputs!$D$10,"Below","OK"))</f>
        <v>OK</v>
      </c>
      <c r="L41" s="50" t="str">
        <f>IF(L39&lt;0,"Below zero",IF(L39&lt;Inputs!$D$10,"Below","OK"))</f>
        <v>OK</v>
      </c>
      <c r="M41" s="50" t="str">
        <f>IF(M39&lt;0,"Below zero",IF(M39&lt;Inputs!$D$10,"Below","OK"))</f>
        <v>OK</v>
      </c>
      <c r="N41" s="50" t="str">
        <f>IF(N39&lt;0,"Below zero",IF(N39&lt;Inputs!$D$10,"Below","OK"))</f>
        <v>Below</v>
      </c>
      <c r="O41" s="50" t="str">
        <f>IF(O39&lt;0,"Below zero",IF(O39&lt;Inputs!$D$10,"Below","OK"))</f>
        <v>OK</v>
      </c>
      <c r="P41" s="50" t="str">
        <f>IF(P39&lt;0,"Below zero",IF(P39&lt;Inputs!$D$10,"Below","OK"))</f>
        <v>OK</v>
      </c>
    </row>
    <row r="43" spans="2:16" ht="22" customHeight="1" x14ac:dyDescent="0.2">
      <c r="B43" s="9" t="s">
        <v>159</v>
      </c>
      <c r="C43" s="1"/>
      <c r="D43" s="1"/>
      <c r="E43" s="1"/>
      <c r="F43" s="1"/>
      <c r="G43" s="1"/>
      <c r="H43" s="1"/>
      <c r="I43" s="1"/>
      <c r="J43" s="1"/>
      <c r="K43" s="1"/>
      <c r="L43" s="1"/>
      <c r="M43" s="1"/>
      <c r="N43" s="1"/>
      <c r="O43" s="1"/>
      <c r="P43" s="1"/>
    </row>
    <row r="44" spans="2:16" ht="14" x14ac:dyDescent="0.2">
      <c r="B44" s="78" t="s">
        <v>160</v>
      </c>
      <c r="C44" s="73"/>
      <c r="D44" s="100" t="s">
        <v>77</v>
      </c>
      <c r="E44" s="73"/>
      <c r="F44" s="100" t="s">
        <v>161</v>
      </c>
      <c r="G44" s="73"/>
      <c r="I44" s="78" t="s">
        <v>162</v>
      </c>
      <c r="J44" s="73"/>
      <c r="K44" s="73"/>
      <c r="L44" s="73"/>
      <c r="M44" s="73"/>
      <c r="N44" s="73"/>
      <c r="O44" s="73"/>
      <c r="P44" s="73"/>
    </row>
    <row r="45" spans="2:16" ht="20" customHeight="1" x14ac:dyDescent="0.2">
      <c r="B45" s="84" t="s">
        <v>163</v>
      </c>
      <c r="C45" s="73"/>
      <c r="D45" s="90">
        <f>MIN('Cash flow'!$D$41:$P$41)</f>
        <v>85119.199999999983</v>
      </c>
      <c r="E45" s="73"/>
      <c r="F45" s="90">
        <f>MIN('Cash flow'!$D$42:$P$42)</f>
        <v>-13660.800000000017</v>
      </c>
      <c r="G45" s="73"/>
      <c r="I45" s="87" t="s">
        <v>164</v>
      </c>
      <c r="J45" s="73"/>
      <c r="K45" s="73"/>
      <c r="L45" s="73"/>
      <c r="M45" s="73"/>
      <c r="N45" s="73"/>
      <c r="O45" s="73"/>
      <c r="P45" s="73"/>
    </row>
    <row r="46" spans="2:16" ht="20" customHeight="1" x14ac:dyDescent="0.2">
      <c r="B46" s="84" t="s">
        <v>165</v>
      </c>
      <c r="C46" s="73"/>
      <c r="D46" s="89">
        <f>INDEX('Cash flow'!$D$34:$P$34,1,MATCH(MIN('Cash flow'!$D$41:$P$41),'Cash flow'!$D$41:$P$41,0))</f>
        <v>11</v>
      </c>
      <c r="E46" s="73"/>
      <c r="F46" s="89">
        <f>INDEX('Cash flow'!$D$34:$P$34,1,MATCH(MIN('Cash flow'!$D$42:$P$42),'Cash flow'!$D$42:$P$42,0))</f>
        <v>13</v>
      </c>
      <c r="G46" s="73"/>
      <c r="I46" s="87" t="s">
        <v>166</v>
      </c>
      <c r="J46" s="73"/>
      <c r="K46" s="73"/>
      <c r="L46" s="73"/>
      <c r="M46" s="73"/>
      <c r="N46" s="73"/>
      <c r="O46" s="73"/>
      <c r="P46" s="73"/>
    </row>
    <row r="47" spans="2:16" ht="20" customHeight="1" x14ac:dyDescent="0.2">
      <c r="B47" s="84" t="s">
        <v>167</v>
      </c>
      <c r="C47" s="73"/>
      <c r="D47" s="95">
        <f>COUNTIF('Cash flow'!$D$41:$P$41,"&lt;"&amp;Inputs!$D$10)</f>
        <v>2</v>
      </c>
      <c r="E47" s="73"/>
      <c r="F47" s="95">
        <f>COUNTIF('Cash flow'!$D$42:$P$42,"&lt;"&amp;Inputs!$D$10)</f>
        <v>13</v>
      </c>
      <c r="G47" s="73"/>
      <c r="I47" s="87" t="s">
        <v>168</v>
      </c>
      <c r="J47" s="73"/>
      <c r="K47" s="73"/>
      <c r="L47" s="73"/>
      <c r="M47" s="73"/>
      <c r="N47" s="73"/>
      <c r="O47" s="73"/>
      <c r="P47" s="73"/>
    </row>
    <row r="48" spans="2:16" ht="20" customHeight="1" x14ac:dyDescent="0.2">
      <c r="B48" s="84" t="s">
        <v>169</v>
      </c>
      <c r="C48" s="73"/>
      <c r="D48" s="95">
        <f>COUNTIF('Cash flow'!$D$41:$P$41,"&lt;0")</f>
        <v>0</v>
      </c>
      <c r="E48" s="73"/>
      <c r="F48" s="95">
        <f>COUNTIF('Cash flow'!$D$42:$P$42,"&lt;0")</f>
        <v>2</v>
      </c>
      <c r="G48" s="73"/>
      <c r="I48" s="87" t="s">
        <v>170</v>
      </c>
      <c r="J48" s="73"/>
      <c r="K48" s="73"/>
      <c r="L48" s="73"/>
      <c r="M48" s="73"/>
      <c r="N48" s="73"/>
      <c r="O48" s="73"/>
      <c r="P48" s="73"/>
    </row>
    <row r="49" spans="2:16" ht="20" customHeight="1" x14ac:dyDescent="0.2">
      <c r="B49" s="84" t="s">
        <v>171</v>
      </c>
      <c r="C49" s="73"/>
      <c r="D49" s="90">
        <f>'Cash flow'!$P$41</f>
        <v>97339.199999999983</v>
      </c>
      <c r="E49" s="73"/>
      <c r="F49" s="90">
        <f>'Cash flow'!$P$42</f>
        <v>-13660.800000000017</v>
      </c>
      <c r="G49" s="73"/>
      <c r="I49" s="87" t="s">
        <v>172</v>
      </c>
      <c r="J49" s="73"/>
      <c r="K49" s="73"/>
      <c r="L49" s="73"/>
      <c r="M49" s="73"/>
      <c r="N49" s="73"/>
      <c r="O49" s="73"/>
      <c r="P49" s="73"/>
    </row>
    <row r="51" spans="2:16" ht="30" customHeight="1" x14ac:dyDescent="0.2">
      <c r="B51" s="96" t="s">
        <v>173</v>
      </c>
      <c r="C51" s="73"/>
      <c r="D51" s="73"/>
      <c r="E51" s="73"/>
      <c r="F51" s="73"/>
      <c r="G51" s="73"/>
      <c r="H51" s="73"/>
      <c r="I51" s="73"/>
      <c r="J51" s="73"/>
      <c r="K51" s="73"/>
      <c r="L51" s="73"/>
      <c r="M51" s="73"/>
      <c r="N51" s="73"/>
      <c r="O51" s="73"/>
      <c r="P51" s="73"/>
    </row>
  </sheetData>
  <mergeCells count="52">
    <mergeCell ref="B51:P51"/>
    <mergeCell ref="B37:C37"/>
    <mergeCell ref="H8:J8"/>
    <mergeCell ref="F46:G46"/>
    <mergeCell ref="B40:C40"/>
    <mergeCell ref="B49:C49"/>
    <mergeCell ref="I48:P48"/>
    <mergeCell ref="B16:P16"/>
    <mergeCell ref="F48:G48"/>
    <mergeCell ref="I44:P44"/>
    <mergeCell ref="K9:M9"/>
    <mergeCell ref="E8:G8"/>
    <mergeCell ref="B45:C45"/>
    <mergeCell ref="F49:G49"/>
    <mergeCell ref="H9:J9"/>
    <mergeCell ref="B41:C41"/>
    <mergeCell ref="D48:E48"/>
    <mergeCell ref="E7:G7"/>
    <mergeCell ref="K7:M7"/>
    <mergeCell ref="B15:P15"/>
    <mergeCell ref="D47:E47"/>
    <mergeCell ref="B38:C38"/>
    <mergeCell ref="B44:C44"/>
    <mergeCell ref="F47:G47"/>
    <mergeCell ref="B7:D7"/>
    <mergeCell ref="N7:P7"/>
    <mergeCell ref="B12:P12"/>
    <mergeCell ref="D44:E44"/>
    <mergeCell ref="F44:G44"/>
    <mergeCell ref="I49:P49"/>
    <mergeCell ref="I46:P46"/>
    <mergeCell ref="E9:G9"/>
    <mergeCell ref="D46:E46"/>
    <mergeCell ref="N8:P8"/>
    <mergeCell ref="B13:P13"/>
    <mergeCell ref="D45:E45"/>
    <mergeCell ref="I45:P45"/>
    <mergeCell ref="B39:C39"/>
    <mergeCell ref="K8:M8"/>
    <mergeCell ref="B48:C48"/>
    <mergeCell ref="D49:E49"/>
    <mergeCell ref="I47:P47"/>
    <mergeCell ref="B9:D9"/>
    <mergeCell ref="F45:G45"/>
    <mergeCell ref="N9:P9"/>
    <mergeCell ref="B47:C47"/>
    <mergeCell ref="B8:D8"/>
    <mergeCell ref="C5:D5"/>
    <mergeCell ref="B14:P14"/>
    <mergeCell ref="B46:C46"/>
    <mergeCell ref="H7:J7"/>
    <mergeCell ref="E5:P5"/>
  </mergeCells>
  <conditionalFormatting sqref="C5">
    <cfRule type="cellIs" dxfId="17" priority="1" operator="equal">
      <formula>"On track"</formula>
    </cfRule>
    <cfRule type="cellIs" dxfId="16" priority="2" operator="equal">
      <formula>"Watch"</formula>
    </cfRule>
    <cfRule type="cellIs" dxfId="15" priority="3" operator="equal">
      <formula>"Action needed"</formula>
    </cfRule>
    <cfRule type="cellIs" dxfId="14" priority="9" operator="equal">
      <formula>"Check inputs"</formula>
    </cfRule>
  </conditionalFormatting>
  <conditionalFormatting sqref="D45:G45">
    <cfRule type="cellIs" dxfId="13" priority="8" operator="lessThan">
      <formula>0</formula>
    </cfRule>
  </conditionalFormatting>
  <conditionalFormatting sqref="D41:P41">
    <cfRule type="cellIs" dxfId="12" priority="5" operator="equal">
      <formula>"OK"</formula>
    </cfRule>
    <cfRule type="cellIs" dxfId="11" priority="6" operator="equal">
      <formula>"Below"</formula>
    </cfRule>
    <cfRule type="cellIs" dxfId="10" priority="7" operator="equal">
      <formula>"Below zero"</formula>
    </cfRule>
  </conditionalFormatting>
  <conditionalFormatting sqref="E8">
    <cfRule type="cellIs" dxfId="9" priority="4" operator="lessThan">
      <formula>0</formula>
    </cfRule>
  </conditionalFormatting>
  <printOptions horizontalCentered="1"/>
  <pageMargins left="0.45" right="0.45" top="0.75" bottom="0.65" header="0.3" footer="0.3"/>
  <pageSetup paperSize="9" orientation="landscape"/>
  <headerFooter>
    <oddHeader>&amp;L&amp;8 &amp;K5F667313-Week Cash Flow Template&amp;R&amp;8 &amp;K5F6673Ivanka Menken, Strategic Mentor</oddHeader>
    <oddFooter>&amp;L&amp;8 &amp;K5F6673https://ivankamenken.com&amp;C&amp;8 &amp;K5F6673Page &amp;P of &amp;N&amp;R&amp;8 &amp;K5F6673&amp;A</oddFooter>
    <evenHeader>&amp;L&amp;8 &amp;K5F667313-Week Cash Flow Template&amp;R&amp;8 &amp;K5F6673Ivanka Menken, Strategic Mentor</evenHeader>
    <evenFooter>&amp;L&amp;8 &amp;K5F6673https://ivankamenken.com&amp;C&amp;8 &amp;K5F6673Page &amp;P of &amp;N&amp;R&amp;8 &amp;K5F6673&amp;A</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919C"/>
    <pageSetUpPr fitToPage="1"/>
  </sheetPr>
  <dimension ref="B1:Q54"/>
  <sheetViews>
    <sheetView showGridLines="0" workbookViewId="0">
      <pane xSplit="3" ySplit="6" topLeftCell="D7" activePane="bottomRight" state="frozen"/>
      <selection pane="topRight"/>
      <selection pane="bottomLeft"/>
      <selection pane="bottomRight"/>
    </sheetView>
  </sheetViews>
  <sheetFormatPr baseColWidth="10" defaultColWidth="9" defaultRowHeight="18" customHeight="1" x14ac:dyDescent="0.2"/>
  <cols>
    <col min="1" max="1" width="2.3984375" customWidth="1"/>
    <col min="2" max="2" width="46" customWidth="1"/>
    <col min="3" max="3" width="2" customWidth="1"/>
    <col min="4" max="16" width="11.3984375" customWidth="1"/>
    <col min="17" max="17" width="13" customWidth="1"/>
    <col min="18" max="18" width="2.3984375" customWidth="1"/>
  </cols>
  <sheetData>
    <row r="1" spans="2:17" ht="10" customHeight="1" x14ac:dyDescent="0.2"/>
    <row r="2" spans="2:17" ht="34" customHeight="1" x14ac:dyDescent="0.35">
      <c r="B2" s="26" t="s">
        <v>174</v>
      </c>
    </row>
    <row r="3" spans="2:17" ht="20" customHeight="1" x14ac:dyDescent="0.2">
      <c r="B3" s="46" t="str">
        <f>"Scenario shown: "&amp;Inputs!$D$11&amp;". "&amp;IF(Inputs!$D$11="Downside","Customer receipts "&amp;FIXED((Inputs!$D$24)*100,1)&amp;"%"&amp;" lower and "&amp;Inputs!$D$25&amp;IF(Inputs!$D$25=1," week"," weeks")&amp;" later.","Customer receipts as entered on the Inputs sheet.")</f>
        <v>Scenario shown: Base. Customer receipts as entered on the Inputs sheet.</v>
      </c>
      <c r="C3" s="28"/>
      <c r="D3" s="28"/>
      <c r="E3" s="28"/>
      <c r="F3" s="28"/>
      <c r="G3" s="28"/>
      <c r="H3" s="28"/>
      <c r="I3" s="28"/>
      <c r="J3" s="28"/>
      <c r="K3" s="28"/>
      <c r="L3" s="28"/>
      <c r="M3" s="28"/>
      <c r="N3" s="28"/>
      <c r="O3" s="28"/>
      <c r="P3" s="28"/>
      <c r="Q3" s="28"/>
    </row>
    <row r="5" spans="2:17" ht="20" customHeight="1" x14ac:dyDescent="0.2">
      <c r="B5" s="13" t="s">
        <v>103</v>
      </c>
      <c r="D5" s="38" t="s">
        <v>104</v>
      </c>
      <c r="E5" s="38" t="s">
        <v>105</v>
      </c>
      <c r="F5" s="38" t="s">
        <v>106</v>
      </c>
      <c r="G5" s="38" t="s">
        <v>107</v>
      </c>
      <c r="H5" s="38" t="s">
        <v>108</v>
      </c>
      <c r="I5" s="38" t="s">
        <v>109</v>
      </c>
      <c r="J5" s="38" t="s">
        <v>110</v>
      </c>
      <c r="K5" s="38" t="s">
        <v>111</v>
      </c>
      <c r="L5" s="38" t="s">
        <v>112</v>
      </c>
      <c r="M5" s="38" t="s">
        <v>113</v>
      </c>
      <c r="N5" s="38" t="s">
        <v>114</v>
      </c>
      <c r="O5" s="38" t="s">
        <v>115</v>
      </c>
      <c r="P5" s="38" t="s">
        <v>116</v>
      </c>
      <c r="Q5" s="38" t="s">
        <v>117</v>
      </c>
    </row>
    <row r="6" spans="2:17" ht="14" x14ac:dyDescent="0.2">
      <c r="B6" s="39" t="s">
        <v>118</v>
      </c>
      <c r="D6" s="40">
        <f>Inputs!$D$29</f>
        <v>46321</v>
      </c>
      <c r="E6" s="40">
        <f>Inputs!$E$29</f>
        <v>46328</v>
      </c>
      <c r="F6" s="40">
        <f>Inputs!$F$29</f>
        <v>46335</v>
      </c>
      <c r="G6" s="40">
        <f>Inputs!$G$29</f>
        <v>46342</v>
      </c>
      <c r="H6" s="40">
        <f>Inputs!$H$29</f>
        <v>46349</v>
      </c>
      <c r="I6" s="40">
        <f>Inputs!$I$29</f>
        <v>46356</v>
      </c>
      <c r="J6" s="40">
        <f>Inputs!$J$29</f>
        <v>46363</v>
      </c>
      <c r="K6" s="40">
        <f>Inputs!$K$29</f>
        <v>46370</v>
      </c>
      <c r="L6" s="40">
        <f>Inputs!$L$29</f>
        <v>46377</v>
      </c>
      <c r="M6" s="40">
        <f>Inputs!$M$29</f>
        <v>46384</v>
      </c>
      <c r="N6" s="40">
        <f>Inputs!$N$29</f>
        <v>46391</v>
      </c>
      <c r="O6" s="40">
        <f>Inputs!$O$29</f>
        <v>46398</v>
      </c>
      <c r="P6" s="40">
        <f>Inputs!$P$29</f>
        <v>46405</v>
      </c>
    </row>
    <row r="8" spans="2:17" ht="14" x14ac:dyDescent="0.2">
      <c r="B8" s="52" t="s">
        <v>175</v>
      </c>
      <c r="D8" s="43">
        <f>Inputs!$D$9</f>
        <v>105000</v>
      </c>
      <c r="E8" s="43">
        <f t="shared" ref="E8:P8" si="0">D27</f>
        <v>94000</v>
      </c>
      <c r="F8" s="43">
        <f t="shared" si="0"/>
        <v>124626.4</v>
      </c>
      <c r="G8" s="43">
        <f t="shared" si="0"/>
        <v>113726.39999999999</v>
      </c>
      <c r="H8" s="43">
        <f t="shared" si="0"/>
        <v>138846.39999999999</v>
      </c>
      <c r="I8" s="43">
        <f t="shared" si="0"/>
        <v>88646.399999999994</v>
      </c>
      <c r="J8" s="43">
        <f t="shared" si="0"/>
        <v>121846.39999999999</v>
      </c>
      <c r="K8" s="43">
        <f t="shared" si="0"/>
        <v>123772.79999999999</v>
      </c>
      <c r="L8" s="43">
        <f t="shared" si="0"/>
        <v>144072.79999999999</v>
      </c>
      <c r="M8" s="43">
        <f t="shared" si="0"/>
        <v>94992.799999999988</v>
      </c>
      <c r="N8" s="43">
        <f t="shared" si="0"/>
        <v>93192.799999999988</v>
      </c>
      <c r="O8" s="43">
        <f t="shared" si="0"/>
        <v>85119.199999999983</v>
      </c>
      <c r="P8" s="43">
        <f t="shared" si="0"/>
        <v>124919.19999999998</v>
      </c>
    </row>
    <row r="9" spans="2:17" ht="14" x14ac:dyDescent="0.2">
      <c r="B9" s="41" t="s">
        <v>119</v>
      </c>
      <c r="C9" s="42"/>
      <c r="D9" s="42"/>
      <c r="E9" s="42"/>
      <c r="F9" s="42"/>
      <c r="G9" s="42"/>
      <c r="H9" s="42"/>
      <c r="I9" s="42"/>
      <c r="J9" s="42"/>
      <c r="K9" s="42"/>
      <c r="L9" s="42"/>
      <c r="M9" s="42"/>
      <c r="N9" s="42"/>
      <c r="O9" s="42"/>
      <c r="P9" s="42"/>
      <c r="Q9" s="42"/>
    </row>
    <row r="10" spans="2:17" ht="14" x14ac:dyDescent="0.2">
      <c r="B10" s="30" t="s">
        <v>176</v>
      </c>
      <c r="D10" s="51">
        <f>IF(Inputs!$D$11="Downside",D39,D38)</f>
        <v>56000</v>
      </c>
      <c r="E10" s="51">
        <f>IF(Inputs!$D$11="Downside",E39,E38)</f>
        <v>44000</v>
      </c>
      <c r="F10" s="51">
        <f>IF(Inputs!$D$11="Downside",F39,F38)</f>
        <v>52000</v>
      </c>
      <c r="G10" s="51">
        <f>IF(Inputs!$D$11="Downside",G39,G38)</f>
        <v>61000</v>
      </c>
      <c r="H10" s="51">
        <f>IF(Inputs!$D$11="Downside",H39,H38)</f>
        <v>47000</v>
      </c>
      <c r="I10" s="51">
        <f>IF(Inputs!$D$11="Downside",I39,I38)</f>
        <v>55000</v>
      </c>
      <c r="J10" s="51">
        <f>IF(Inputs!$D$11="Downside",J39,J38)</f>
        <v>63000</v>
      </c>
      <c r="K10" s="51">
        <f>IF(Inputs!$D$11="Downside",K39,K38)</f>
        <v>50000</v>
      </c>
      <c r="L10" s="51">
        <f>IF(Inputs!$D$11="Downside",L39,L38)</f>
        <v>26000</v>
      </c>
      <c r="M10" s="51">
        <f>IF(Inputs!$D$11="Downside",M39,M38)</f>
        <v>15000</v>
      </c>
      <c r="N10" s="51">
        <f>IF(Inputs!$D$11="Downside",N39,N38)</f>
        <v>43000</v>
      </c>
      <c r="O10" s="51">
        <f>IF(Inputs!$D$11="Downside",O39,O38)</f>
        <v>58000</v>
      </c>
      <c r="P10" s="51">
        <f>IF(Inputs!$D$11="Downside",P39,P38)</f>
        <v>54000</v>
      </c>
      <c r="Q10" s="43">
        <f>SUM(D10:P10)</f>
        <v>624000</v>
      </c>
    </row>
    <row r="11" spans="2:17" ht="14" x14ac:dyDescent="0.2">
      <c r="B11" s="30" t="s">
        <v>177</v>
      </c>
      <c r="D11" s="51">
        <f>Inputs!$D$32</f>
        <v>0</v>
      </c>
      <c r="E11" s="51">
        <f>Inputs!$E$32</f>
        <v>0</v>
      </c>
      <c r="F11" s="51">
        <f>Inputs!$F$32</f>
        <v>0</v>
      </c>
      <c r="G11" s="51">
        <f>Inputs!$G$32</f>
        <v>0</v>
      </c>
      <c r="H11" s="51">
        <f>Inputs!$H$32</f>
        <v>0</v>
      </c>
      <c r="I11" s="51">
        <f>Inputs!$I$32</f>
        <v>0</v>
      </c>
      <c r="J11" s="51">
        <f>Inputs!$J$32</f>
        <v>0</v>
      </c>
      <c r="K11" s="51">
        <f>Inputs!$K$32</f>
        <v>0</v>
      </c>
      <c r="L11" s="51">
        <f>Inputs!$L$32</f>
        <v>0</v>
      </c>
      <c r="M11" s="51">
        <f>Inputs!$M$32</f>
        <v>0</v>
      </c>
      <c r="N11" s="51">
        <f>Inputs!$N$32</f>
        <v>8000</v>
      </c>
      <c r="O11" s="51">
        <f>Inputs!$O$32</f>
        <v>0</v>
      </c>
      <c r="P11" s="51">
        <f>Inputs!$P$32</f>
        <v>0</v>
      </c>
      <c r="Q11" s="43">
        <f>SUM(D11:P11)</f>
        <v>8000</v>
      </c>
    </row>
    <row r="12" spans="2:17" ht="14" x14ac:dyDescent="0.2">
      <c r="B12" s="30" t="s">
        <v>178</v>
      </c>
      <c r="D12" s="51">
        <f>Inputs!$D$33</f>
        <v>0</v>
      </c>
      <c r="E12" s="51">
        <f>Inputs!$E$33</f>
        <v>0</v>
      </c>
      <c r="F12" s="51">
        <f>Inputs!$F$33</f>
        <v>0</v>
      </c>
      <c r="G12" s="51">
        <f>Inputs!$G$33</f>
        <v>0</v>
      </c>
      <c r="H12" s="51">
        <f>Inputs!$H$33</f>
        <v>0</v>
      </c>
      <c r="I12" s="51">
        <f>Inputs!$I$33</f>
        <v>0</v>
      </c>
      <c r="J12" s="51">
        <f>Inputs!$J$33</f>
        <v>0</v>
      </c>
      <c r="K12" s="51">
        <f>Inputs!$K$33</f>
        <v>0</v>
      </c>
      <c r="L12" s="51">
        <f>Inputs!$L$33</f>
        <v>0</v>
      </c>
      <c r="M12" s="51">
        <f>Inputs!$M$33</f>
        <v>0</v>
      </c>
      <c r="N12" s="51">
        <f>Inputs!$N$33</f>
        <v>0</v>
      </c>
      <c r="O12" s="51">
        <f>Inputs!$O$33</f>
        <v>0</v>
      </c>
      <c r="P12" s="51">
        <f>Inputs!$P$33</f>
        <v>0</v>
      </c>
      <c r="Q12" s="43">
        <f>SUM(D12:P12)</f>
        <v>0</v>
      </c>
    </row>
    <row r="13" spans="2:17" ht="14" x14ac:dyDescent="0.2">
      <c r="B13" s="53" t="s">
        <v>179</v>
      </c>
      <c r="C13" s="54"/>
      <c r="D13" s="55">
        <f t="shared" ref="D13:P13" si="1">SUM(D10:D12)</f>
        <v>56000</v>
      </c>
      <c r="E13" s="55">
        <f t="shared" si="1"/>
        <v>44000</v>
      </c>
      <c r="F13" s="55">
        <f t="shared" si="1"/>
        <v>52000</v>
      </c>
      <c r="G13" s="55">
        <f t="shared" si="1"/>
        <v>61000</v>
      </c>
      <c r="H13" s="55">
        <f t="shared" si="1"/>
        <v>47000</v>
      </c>
      <c r="I13" s="55">
        <f t="shared" si="1"/>
        <v>55000</v>
      </c>
      <c r="J13" s="55">
        <f t="shared" si="1"/>
        <v>63000</v>
      </c>
      <c r="K13" s="55">
        <f t="shared" si="1"/>
        <v>50000</v>
      </c>
      <c r="L13" s="55">
        <f t="shared" si="1"/>
        <v>26000</v>
      </c>
      <c r="M13" s="55">
        <f t="shared" si="1"/>
        <v>15000</v>
      </c>
      <c r="N13" s="55">
        <f t="shared" si="1"/>
        <v>51000</v>
      </c>
      <c r="O13" s="55">
        <f t="shared" si="1"/>
        <v>58000</v>
      </c>
      <c r="P13" s="55">
        <f t="shared" si="1"/>
        <v>54000</v>
      </c>
      <c r="Q13" s="55">
        <f>SUM(D13:P13)</f>
        <v>632000</v>
      </c>
    </row>
    <row r="14" spans="2:17" ht="14" x14ac:dyDescent="0.2">
      <c r="B14" s="41" t="s">
        <v>180</v>
      </c>
      <c r="C14" s="42"/>
      <c r="D14" s="42"/>
      <c r="E14" s="42"/>
      <c r="F14" s="42"/>
      <c r="G14" s="42"/>
      <c r="H14" s="42"/>
      <c r="I14" s="42"/>
      <c r="J14" s="42"/>
      <c r="K14" s="42"/>
      <c r="L14" s="42"/>
      <c r="M14" s="42"/>
      <c r="N14" s="42"/>
      <c r="O14" s="42"/>
      <c r="P14" s="42"/>
      <c r="Q14" s="42"/>
    </row>
    <row r="15" spans="2:17" ht="14" x14ac:dyDescent="0.2">
      <c r="B15" s="30" t="s">
        <v>181</v>
      </c>
      <c r="D15" s="51">
        <f>D36*Inputs!$D$14*(1-Inputs!$D$17)</f>
        <v>37440</v>
      </c>
      <c r="E15" s="51">
        <f>E36*Inputs!$D$14*(1-Inputs!$D$17)</f>
        <v>0</v>
      </c>
      <c r="F15" s="51">
        <f>F36*Inputs!$D$14*(1-Inputs!$D$17)</f>
        <v>37440</v>
      </c>
      <c r="G15" s="51">
        <f>G36*Inputs!$D$14*(1-Inputs!$D$17)</f>
        <v>0</v>
      </c>
      <c r="H15" s="51">
        <f>H36*Inputs!$D$14*(1-Inputs!$D$17)</f>
        <v>37440</v>
      </c>
      <c r="I15" s="51">
        <f>I36*Inputs!$D$14*(1-Inputs!$D$17)</f>
        <v>0</v>
      </c>
      <c r="J15" s="51">
        <f>J36*Inputs!$D$14*(1-Inputs!$D$17)</f>
        <v>37440</v>
      </c>
      <c r="K15" s="51">
        <f>K36*Inputs!$D$14*(1-Inputs!$D$17)</f>
        <v>0</v>
      </c>
      <c r="L15" s="51">
        <f>L36*Inputs!$D$14*(1-Inputs!$D$17)</f>
        <v>37440</v>
      </c>
      <c r="M15" s="51">
        <f>M36*Inputs!$D$14*(1-Inputs!$D$17)</f>
        <v>0</v>
      </c>
      <c r="N15" s="51">
        <f>N36*Inputs!$D$14*(1-Inputs!$D$17)</f>
        <v>37440</v>
      </c>
      <c r="O15" s="51">
        <f>O36*Inputs!$D$14*(1-Inputs!$D$17)</f>
        <v>0</v>
      </c>
      <c r="P15" s="51">
        <f>P36*Inputs!$D$14*(1-Inputs!$D$17)</f>
        <v>37440</v>
      </c>
      <c r="Q15" s="43">
        <f t="shared" ref="Q15:Q26" si="2">SUM(D15:P15)</f>
        <v>262080</v>
      </c>
    </row>
    <row r="16" spans="2:17" ht="14" x14ac:dyDescent="0.2">
      <c r="B16" s="30" t="s">
        <v>182</v>
      </c>
      <c r="D16" s="51">
        <f>D36*Inputs!$D$14*Inputs!$D$18</f>
        <v>5760</v>
      </c>
      <c r="E16" s="51">
        <f>E36*Inputs!$D$14*Inputs!$D$18</f>
        <v>0</v>
      </c>
      <c r="F16" s="51">
        <f>F36*Inputs!$D$14*Inputs!$D$18</f>
        <v>5760</v>
      </c>
      <c r="G16" s="51">
        <f>G36*Inputs!$D$14*Inputs!$D$18</f>
        <v>0</v>
      </c>
      <c r="H16" s="51">
        <f>H36*Inputs!$D$14*Inputs!$D$18</f>
        <v>5760</v>
      </c>
      <c r="I16" s="51">
        <f>I36*Inputs!$D$14*Inputs!$D$18</f>
        <v>0</v>
      </c>
      <c r="J16" s="51">
        <f>J36*Inputs!$D$14*Inputs!$D$18</f>
        <v>5760</v>
      </c>
      <c r="K16" s="51">
        <f>K36*Inputs!$D$14*Inputs!$D$18</f>
        <v>0</v>
      </c>
      <c r="L16" s="51">
        <f>L36*Inputs!$D$14*Inputs!$D$18</f>
        <v>5760</v>
      </c>
      <c r="M16" s="51">
        <f>M36*Inputs!$D$14*Inputs!$D$18</f>
        <v>0</v>
      </c>
      <c r="N16" s="51">
        <f>N36*Inputs!$D$14*Inputs!$D$18</f>
        <v>5760</v>
      </c>
      <c r="O16" s="51">
        <f>O36*Inputs!$D$14*Inputs!$D$18</f>
        <v>0</v>
      </c>
      <c r="P16" s="51">
        <f>P36*Inputs!$D$14*Inputs!$D$18</f>
        <v>5760</v>
      </c>
      <c r="Q16" s="43">
        <f t="shared" si="2"/>
        <v>40320</v>
      </c>
    </row>
    <row r="17" spans="2:17" ht="14" x14ac:dyDescent="0.2">
      <c r="B17" s="30" t="s">
        <v>183</v>
      </c>
      <c r="D17" s="51">
        <f t="shared" ref="D17:P17" si="3">D37*$D$50</f>
        <v>0</v>
      </c>
      <c r="E17" s="51">
        <f t="shared" si="3"/>
        <v>873.6</v>
      </c>
      <c r="F17" s="51">
        <f t="shared" si="3"/>
        <v>0</v>
      </c>
      <c r="G17" s="51">
        <f t="shared" si="3"/>
        <v>0</v>
      </c>
      <c r="H17" s="51">
        <f t="shared" si="3"/>
        <v>0</v>
      </c>
      <c r="I17" s="51">
        <f t="shared" si="3"/>
        <v>0</v>
      </c>
      <c r="J17" s="51">
        <f t="shared" si="3"/>
        <v>873.6</v>
      </c>
      <c r="K17" s="51">
        <f t="shared" si="3"/>
        <v>0</v>
      </c>
      <c r="L17" s="51">
        <f t="shared" si="3"/>
        <v>0</v>
      </c>
      <c r="M17" s="51">
        <f t="shared" si="3"/>
        <v>0</v>
      </c>
      <c r="N17" s="51">
        <f t="shared" si="3"/>
        <v>873.6</v>
      </c>
      <c r="O17" s="51">
        <f t="shared" si="3"/>
        <v>0</v>
      </c>
      <c r="P17" s="51">
        <f t="shared" si="3"/>
        <v>0</v>
      </c>
      <c r="Q17" s="43">
        <f t="shared" si="2"/>
        <v>2620.8000000000002</v>
      </c>
    </row>
    <row r="18" spans="2:17" ht="14" x14ac:dyDescent="0.2">
      <c r="B18" s="30" t="s">
        <v>184</v>
      </c>
      <c r="D18" s="51">
        <f>Inputs!$D$35</f>
        <v>0</v>
      </c>
      <c r="E18" s="51">
        <f>Inputs!$E$35</f>
        <v>0</v>
      </c>
      <c r="F18" s="51">
        <f>Inputs!$F$35</f>
        <v>0</v>
      </c>
      <c r="G18" s="51">
        <f>Inputs!$G$35</f>
        <v>0</v>
      </c>
      <c r="H18" s="51">
        <f>Inputs!$H$35</f>
        <v>0</v>
      </c>
      <c r="I18" s="51">
        <f>Inputs!$I$35</f>
        <v>0</v>
      </c>
      <c r="J18" s="51">
        <f>Inputs!$J$35</f>
        <v>0</v>
      </c>
      <c r="K18" s="51">
        <f>Inputs!$K$35</f>
        <v>12000</v>
      </c>
      <c r="L18" s="51">
        <f>Inputs!$L$35</f>
        <v>0</v>
      </c>
      <c r="M18" s="51">
        <f>Inputs!$M$35</f>
        <v>0</v>
      </c>
      <c r="N18" s="51">
        <f>Inputs!$N$35</f>
        <v>0</v>
      </c>
      <c r="O18" s="51">
        <f>Inputs!$O$35</f>
        <v>0</v>
      </c>
      <c r="P18" s="51">
        <f>Inputs!$P$35</f>
        <v>0</v>
      </c>
      <c r="Q18" s="43">
        <f t="shared" si="2"/>
        <v>12000</v>
      </c>
    </row>
    <row r="19" spans="2:17" ht="14" x14ac:dyDescent="0.2">
      <c r="B19" s="30" t="s">
        <v>125</v>
      </c>
      <c r="D19" s="51">
        <f>Inputs!$D$36</f>
        <v>0</v>
      </c>
      <c r="E19" s="51">
        <f>Inputs!$E$36</f>
        <v>0</v>
      </c>
      <c r="F19" s="51">
        <f>Inputs!$F$36</f>
        <v>0</v>
      </c>
      <c r="G19" s="51">
        <f>Inputs!$G$36</f>
        <v>22880</v>
      </c>
      <c r="H19" s="51">
        <f>Inputs!$H$36</f>
        <v>0</v>
      </c>
      <c r="I19" s="51">
        <f>Inputs!$I$36</f>
        <v>0</v>
      </c>
      <c r="J19" s="51">
        <f>Inputs!$J$36</f>
        <v>0</v>
      </c>
      <c r="K19" s="51">
        <f>Inputs!$K$36</f>
        <v>0</v>
      </c>
      <c r="L19" s="51">
        <f>Inputs!$L$36</f>
        <v>22880</v>
      </c>
      <c r="M19" s="51">
        <f>Inputs!$M$36</f>
        <v>0</v>
      </c>
      <c r="N19" s="51">
        <f>Inputs!$N$36</f>
        <v>0</v>
      </c>
      <c r="O19" s="51">
        <f>Inputs!$O$36</f>
        <v>0</v>
      </c>
      <c r="P19" s="51">
        <f>Inputs!$P$36</f>
        <v>22880</v>
      </c>
      <c r="Q19" s="43">
        <f t="shared" si="2"/>
        <v>68640</v>
      </c>
    </row>
    <row r="20" spans="2:17" ht="14" x14ac:dyDescent="0.2">
      <c r="B20" s="30" t="s">
        <v>126</v>
      </c>
      <c r="D20" s="51">
        <f>Inputs!$D$37</f>
        <v>11000</v>
      </c>
      <c r="E20" s="51">
        <f>Inputs!$E$37</f>
        <v>9500</v>
      </c>
      <c r="F20" s="51">
        <f>Inputs!$F$37</f>
        <v>12500</v>
      </c>
      <c r="G20" s="51">
        <f>Inputs!$G$37</f>
        <v>10000</v>
      </c>
      <c r="H20" s="51">
        <f>Inputs!$H$37</f>
        <v>13000</v>
      </c>
      <c r="I20" s="51">
        <f>Inputs!$I$37</f>
        <v>9000</v>
      </c>
      <c r="J20" s="51">
        <f>Inputs!$J$37</f>
        <v>14000</v>
      </c>
      <c r="K20" s="51">
        <f>Inputs!$K$37</f>
        <v>10500</v>
      </c>
      <c r="L20" s="51">
        <f>Inputs!$L$37</f>
        <v>6000</v>
      </c>
      <c r="M20" s="51">
        <f>Inputs!$M$37</f>
        <v>4000</v>
      </c>
      <c r="N20" s="51">
        <f>Inputs!$N$37</f>
        <v>12000</v>
      </c>
      <c r="O20" s="51">
        <f>Inputs!$O$37</f>
        <v>11000</v>
      </c>
      <c r="P20" s="51">
        <f>Inputs!$P$37</f>
        <v>12500</v>
      </c>
      <c r="Q20" s="43">
        <f t="shared" si="2"/>
        <v>135000</v>
      </c>
    </row>
    <row r="21" spans="2:17" ht="14" x14ac:dyDescent="0.2">
      <c r="B21" s="30" t="s">
        <v>127</v>
      </c>
      <c r="D21" s="51">
        <f>Inputs!$D$38</f>
        <v>9800</v>
      </c>
      <c r="E21" s="51">
        <f>Inputs!$E$38</f>
        <v>0</v>
      </c>
      <c r="F21" s="51">
        <f>Inputs!$F$38</f>
        <v>0</v>
      </c>
      <c r="G21" s="51">
        <f>Inputs!$G$38</f>
        <v>0</v>
      </c>
      <c r="H21" s="51">
        <f>Inputs!$H$38</f>
        <v>0</v>
      </c>
      <c r="I21" s="51">
        <f>Inputs!$I$38</f>
        <v>9800</v>
      </c>
      <c r="J21" s="51">
        <f>Inputs!$J$38</f>
        <v>0</v>
      </c>
      <c r="K21" s="51">
        <f>Inputs!$K$38</f>
        <v>0</v>
      </c>
      <c r="L21" s="51">
        <f>Inputs!$L$38</f>
        <v>0</v>
      </c>
      <c r="M21" s="51">
        <f>Inputs!$M$38</f>
        <v>9800</v>
      </c>
      <c r="N21" s="51">
        <f>Inputs!$N$38</f>
        <v>0</v>
      </c>
      <c r="O21" s="51">
        <f>Inputs!$O$38</f>
        <v>0</v>
      </c>
      <c r="P21" s="51">
        <f>Inputs!$P$38</f>
        <v>0</v>
      </c>
      <c r="Q21" s="43">
        <f t="shared" si="2"/>
        <v>29400</v>
      </c>
    </row>
    <row r="22" spans="2:17" ht="14" x14ac:dyDescent="0.2">
      <c r="B22" s="30" t="s">
        <v>128</v>
      </c>
      <c r="D22" s="51">
        <f>Inputs!$D$39</f>
        <v>0</v>
      </c>
      <c r="E22" s="51">
        <f>Inputs!$E$39</f>
        <v>0</v>
      </c>
      <c r="F22" s="51">
        <f>Inputs!$F$39</f>
        <v>4200</v>
      </c>
      <c r="G22" s="51">
        <f>Inputs!$G$39</f>
        <v>0</v>
      </c>
      <c r="H22" s="51">
        <f>Inputs!$H$39</f>
        <v>0</v>
      </c>
      <c r="I22" s="51">
        <f>Inputs!$I$39</f>
        <v>0</v>
      </c>
      <c r="J22" s="51">
        <f>Inputs!$J$39</f>
        <v>0</v>
      </c>
      <c r="K22" s="51">
        <f>Inputs!$K$39</f>
        <v>4200</v>
      </c>
      <c r="L22" s="51">
        <f>Inputs!$L$39</f>
        <v>0</v>
      </c>
      <c r="M22" s="51">
        <f>Inputs!$M$39</f>
        <v>0</v>
      </c>
      <c r="N22" s="51">
        <f>Inputs!$N$39</f>
        <v>0</v>
      </c>
      <c r="O22" s="51">
        <f>Inputs!$O$39</f>
        <v>4200</v>
      </c>
      <c r="P22" s="51">
        <f>Inputs!$P$39</f>
        <v>0</v>
      </c>
      <c r="Q22" s="43">
        <f t="shared" si="2"/>
        <v>12600</v>
      </c>
    </row>
    <row r="23" spans="2:17" ht="14" x14ac:dyDescent="0.2">
      <c r="B23" s="30" t="s">
        <v>129</v>
      </c>
      <c r="D23" s="51">
        <f>Inputs!$D$40</f>
        <v>0</v>
      </c>
      <c r="E23" s="51">
        <f>Inputs!$E$40</f>
        <v>0</v>
      </c>
      <c r="F23" s="51">
        <f>Inputs!$F$40</f>
        <v>0</v>
      </c>
      <c r="G23" s="51">
        <f>Inputs!$G$40</f>
        <v>0</v>
      </c>
      <c r="H23" s="51">
        <f>Inputs!$H$40</f>
        <v>38000</v>
      </c>
      <c r="I23" s="51">
        <f>Inputs!$I$40</f>
        <v>0</v>
      </c>
      <c r="J23" s="51">
        <f>Inputs!$J$40</f>
        <v>0</v>
      </c>
      <c r="K23" s="51">
        <f>Inputs!$K$40</f>
        <v>0</v>
      </c>
      <c r="L23" s="51">
        <f>Inputs!$L$40</f>
        <v>0</v>
      </c>
      <c r="M23" s="51">
        <f>Inputs!$M$40</f>
        <v>0</v>
      </c>
      <c r="N23" s="51">
        <f>Inputs!$N$40</f>
        <v>0</v>
      </c>
      <c r="O23" s="51">
        <f>Inputs!$O$40</f>
        <v>0</v>
      </c>
      <c r="P23" s="51">
        <f>Inputs!$P$40</f>
        <v>0</v>
      </c>
      <c r="Q23" s="43">
        <f t="shared" si="2"/>
        <v>38000</v>
      </c>
    </row>
    <row r="24" spans="2:17" ht="14" x14ac:dyDescent="0.2">
      <c r="B24" s="30" t="s">
        <v>185</v>
      </c>
      <c r="D24" s="51">
        <f>Inputs!$D$41</f>
        <v>3000</v>
      </c>
      <c r="E24" s="51">
        <f>Inputs!$E$41</f>
        <v>3000</v>
      </c>
      <c r="F24" s="51">
        <f>Inputs!$F$41</f>
        <v>3000</v>
      </c>
      <c r="G24" s="51">
        <f>Inputs!$G$41</f>
        <v>3000</v>
      </c>
      <c r="H24" s="51">
        <f>Inputs!$H$41</f>
        <v>3000</v>
      </c>
      <c r="I24" s="51">
        <f>Inputs!$I$41</f>
        <v>3000</v>
      </c>
      <c r="J24" s="51">
        <f>Inputs!$J$41</f>
        <v>3000</v>
      </c>
      <c r="K24" s="51">
        <f>Inputs!$K$41</f>
        <v>3000</v>
      </c>
      <c r="L24" s="51">
        <f>Inputs!$L$41</f>
        <v>3000</v>
      </c>
      <c r="M24" s="51">
        <f>Inputs!$M$41</f>
        <v>3000</v>
      </c>
      <c r="N24" s="51">
        <f>Inputs!$N$41</f>
        <v>3000</v>
      </c>
      <c r="O24" s="51">
        <f>Inputs!$O$41</f>
        <v>3000</v>
      </c>
      <c r="P24" s="51">
        <f>Inputs!$P$41</f>
        <v>3000</v>
      </c>
      <c r="Q24" s="43">
        <f t="shared" si="2"/>
        <v>39000</v>
      </c>
    </row>
    <row r="25" spans="2:17" ht="14" x14ac:dyDescent="0.2">
      <c r="B25" s="53" t="s">
        <v>186</v>
      </c>
      <c r="C25" s="54"/>
      <c r="D25" s="55">
        <f t="shared" ref="D25:P25" si="4">SUM(D15:D24)</f>
        <v>67000</v>
      </c>
      <c r="E25" s="55">
        <f t="shared" si="4"/>
        <v>13373.6</v>
      </c>
      <c r="F25" s="55">
        <f t="shared" si="4"/>
        <v>62900</v>
      </c>
      <c r="G25" s="55">
        <f t="shared" si="4"/>
        <v>35880</v>
      </c>
      <c r="H25" s="55">
        <f t="shared" si="4"/>
        <v>97200</v>
      </c>
      <c r="I25" s="55">
        <f t="shared" si="4"/>
        <v>21800</v>
      </c>
      <c r="J25" s="55">
        <f t="shared" si="4"/>
        <v>61073.599999999999</v>
      </c>
      <c r="K25" s="55">
        <f t="shared" si="4"/>
        <v>29700</v>
      </c>
      <c r="L25" s="55">
        <f t="shared" si="4"/>
        <v>75080</v>
      </c>
      <c r="M25" s="55">
        <f t="shared" si="4"/>
        <v>16800</v>
      </c>
      <c r="N25" s="55">
        <f t="shared" si="4"/>
        <v>59073.599999999999</v>
      </c>
      <c r="O25" s="55">
        <f t="shared" si="4"/>
        <v>18200</v>
      </c>
      <c r="P25" s="55">
        <f t="shared" si="4"/>
        <v>81580</v>
      </c>
      <c r="Q25" s="55">
        <f t="shared" si="2"/>
        <v>639660.79999999993</v>
      </c>
    </row>
    <row r="26" spans="2:17" ht="14" x14ac:dyDescent="0.2">
      <c r="B26" s="30" t="s">
        <v>187</v>
      </c>
      <c r="D26" s="51">
        <f t="shared" ref="D26:P26" si="5">D13-D25</f>
        <v>-11000</v>
      </c>
      <c r="E26" s="51">
        <f t="shared" si="5"/>
        <v>30626.400000000001</v>
      </c>
      <c r="F26" s="51">
        <f t="shared" si="5"/>
        <v>-10900</v>
      </c>
      <c r="G26" s="51">
        <f t="shared" si="5"/>
        <v>25120</v>
      </c>
      <c r="H26" s="51">
        <f t="shared" si="5"/>
        <v>-50200</v>
      </c>
      <c r="I26" s="51">
        <f t="shared" si="5"/>
        <v>33200</v>
      </c>
      <c r="J26" s="51">
        <f t="shared" si="5"/>
        <v>1926.4000000000015</v>
      </c>
      <c r="K26" s="51">
        <f t="shared" si="5"/>
        <v>20300</v>
      </c>
      <c r="L26" s="51">
        <f t="shared" si="5"/>
        <v>-49080</v>
      </c>
      <c r="M26" s="51">
        <f t="shared" si="5"/>
        <v>-1800</v>
      </c>
      <c r="N26" s="51">
        <f t="shared" si="5"/>
        <v>-8073.5999999999985</v>
      </c>
      <c r="O26" s="51">
        <f t="shared" si="5"/>
        <v>39800</v>
      </c>
      <c r="P26" s="51">
        <f t="shared" si="5"/>
        <v>-27580</v>
      </c>
      <c r="Q26" s="43">
        <f t="shared" si="2"/>
        <v>-7660.7999999999956</v>
      </c>
    </row>
    <row r="27" spans="2:17" ht="14" x14ac:dyDescent="0.2">
      <c r="B27" s="53" t="s">
        <v>156</v>
      </c>
      <c r="C27" s="54"/>
      <c r="D27" s="55">
        <f t="shared" ref="D27:P27" si="6">D8+D26</f>
        <v>94000</v>
      </c>
      <c r="E27" s="55">
        <f t="shared" si="6"/>
        <v>124626.4</v>
      </c>
      <c r="F27" s="55">
        <f t="shared" si="6"/>
        <v>113726.39999999999</v>
      </c>
      <c r="G27" s="55">
        <f t="shared" si="6"/>
        <v>138846.39999999999</v>
      </c>
      <c r="H27" s="55">
        <f t="shared" si="6"/>
        <v>88646.399999999994</v>
      </c>
      <c r="I27" s="55">
        <f t="shared" si="6"/>
        <v>121846.39999999999</v>
      </c>
      <c r="J27" s="55">
        <f t="shared" si="6"/>
        <v>123772.79999999999</v>
      </c>
      <c r="K27" s="55">
        <f t="shared" si="6"/>
        <v>144072.79999999999</v>
      </c>
      <c r="L27" s="55">
        <f t="shared" si="6"/>
        <v>94992.799999999988</v>
      </c>
      <c r="M27" s="55">
        <f t="shared" si="6"/>
        <v>93192.799999999988</v>
      </c>
      <c r="N27" s="55">
        <f t="shared" si="6"/>
        <v>85119.199999999983</v>
      </c>
      <c r="O27" s="55">
        <f t="shared" si="6"/>
        <v>124919.19999999998</v>
      </c>
      <c r="P27" s="55">
        <f t="shared" si="6"/>
        <v>97339.199999999983</v>
      </c>
      <c r="Q27" s="55">
        <f>P27</f>
        <v>97339.199999999983</v>
      </c>
    </row>
    <row r="28" spans="2:17" ht="14" x14ac:dyDescent="0.2">
      <c r="B28" s="56" t="s">
        <v>188</v>
      </c>
      <c r="D28" s="57">
        <f>Inputs!$D$10</f>
        <v>90000</v>
      </c>
      <c r="E28" s="57">
        <f>Inputs!$D$10</f>
        <v>90000</v>
      </c>
      <c r="F28" s="57">
        <f>Inputs!$D$10</f>
        <v>90000</v>
      </c>
      <c r="G28" s="57">
        <f>Inputs!$D$10</f>
        <v>90000</v>
      </c>
      <c r="H28" s="57">
        <f>Inputs!$D$10</f>
        <v>90000</v>
      </c>
      <c r="I28" s="57">
        <f>Inputs!$D$10</f>
        <v>90000</v>
      </c>
      <c r="J28" s="57">
        <f>Inputs!$D$10</f>
        <v>90000</v>
      </c>
      <c r="K28" s="57">
        <f>Inputs!$D$10</f>
        <v>90000</v>
      </c>
      <c r="L28" s="57">
        <f>Inputs!$D$10</f>
        <v>90000</v>
      </c>
      <c r="M28" s="57">
        <f>Inputs!$D$10</f>
        <v>90000</v>
      </c>
      <c r="N28" s="57">
        <f>Inputs!$D$10</f>
        <v>90000</v>
      </c>
      <c r="O28" s="57">
        <f>Inputs!$D$10</f>
        <v>90000</v>
      </c>
      <c r="P28" s="57">
        <f>Inputs!$D$10</f>
        <v>90000</v>
      </c>
    </row>
    <row r="29" spans="2:17" ht="14" x14ac:dyDescent="0.2">
      <c r="B29" s="30" t="s">
        <v>189</v>
      </c>
      <c r="D29" s="51">
        <f t="shared" ref="D29:P29" si="7">D27-D28</f>
        <v>4000</v>
      </c>
      <c r="E29" s="51">
        <f t="shared" si="7"/>
        <v>34626.399999999994</v>
      </c>
      <c r="F29" s="51">
        <f t="shared" si="7"/>
        <v>23726.399999999994</v>
      </c>
      <c r="G29" s="51">
        <f t="shared" si="7"/>
        <v>48846.399999999994</v>
      </c>
      <c r="H29" s="51">
        <f t="shared" si="7"/>
        <v>-1353.6000000000058</v>
      </c>
      <c r="I29" s="51">
        <f t="shared" si="7"/>
        <v>31846.399999999994</v>
      </c>
      <c r="J29" s="51">
        <f t="shared" si="7"/>
        <v>33772.799999999988</v>
      </c>
      <c r="K29" s="51">
        <f t="shared" si="7"/>
        <v>54072.799999999988</v>
      </c>
      <c r="L29" s="51">
        <f t="shared" si="7"/>
        <v>4992.7999999999884</v>
      </c>
      <c r="M29" s="51">
        <f t="shared" si="7"/>
        <v>3192.7999999999884</v>
      </c>
      <c r="N29" s="51">
        <f t="shared" si="7"/>
        <v>-4880.8000000000175</v>
      </c>
      <c r="O29" s="51">
        <f t="shared" si="7"/>
        <v>34919.199999999983</v>
      </c>
      <c r="P29" s="51">
        <f t="shared" si="7"/>
        <v>7339.1999999999825</v>
      </c>
    </row>
    <row r="30" spans="2:17" ht="14" x14ac:dyDescent="0.2">
      <c r="B30" s="52" t="s">
        <v>190</v>
      </c>
      <c r="D30" s="58">
        <f t="shared" ref="D30:P30" si="8">IF($D$49&gt;0,D27/$D$49,0)</f>
        <v>3.4709913742171801</v>
      </c>
      <c r="E30" s="58">
        <f t="shared" si="8"/>
        <v>4.6018846744653183</v>
      </c>
      <c r="F30" s="58">
        <f t="shared" si="8"/>
        <v>4.199397376816731</v>
      </c>
      <c r="G30" s="58">
        <f t="shared" si="8"/>
        <v>5.1269644334160454</v>
      </c>
      <c r="H30" s="58">
        <f t="shared" si="8"/>
        <v>3.2733073378234661</v>
      </c>
      <c r="I30" s="58">
        <f t="shared" si="8"/>
        <v>4.4992319508448526</v>
      </c>
      <c r="J30" s="58">
        <f t="shared" si="8"/>
        <v>4.5703651187522141</v>
      </c>
      <c r="K30" s="58">
        <f t="shared" si="8"/>
        <v>5.3199515538225199</v>
      </c>
      <c r="L30" s="58">
        <f t="shared" si="8"/>
        <v>3.507650951199337</v>
      </c>
      <c r="M30" s="58">
        <f t="shared" si="8"/>
        <v>3.4411851589270932</v>
      </c>
      <c r="N30" s="58">
        <f t="shared" si="8"/>
        <v>3.1430639253219885</v>
      </c>
      <c r="O30" s="58">
        <f t="shared" si="8"/>
        <v>4.6126964433416031</v>
      </c>
      <c r="P30" s="58">
        <f t="shared" si="8"/>
        <v>3.5942928039702218</v>
      </c>
    </row>
    <row r="31" spans="2:17" ht="14" x14ac:dyDescent="0.2">
      <c r="B31" s="30" t="s">
        <v>191</v>
      </c>
      <c r="D31" s="50" t="str">
        <f t="shared" ref="D31:P31" si="9">IF(D27&lt;0,"Below zero",IF(D27&lt;D28,"Below min","OK"))</f>
        <v>OK</v>
      </c>
      <c r="E31" s="50" t="str">
        <f t="shared" si="9"/>
        <v>OK</v>
      </c>
      <c r="F31" s="50" t="str">
        <f t="shared" si="9"/>
        <v>OK</v>
      </c>
      <c r="G31" s="50" t="str">
        <f t="shared" si="9"/>
        <v>OK</v>
      </c>
      <c r="H31" s="50" t="str">
        <f t="shared" si="9"/>
        <v>Below min</v>
      </c>
      <c r="I31" s="50" t="str">
        <f t="shared" si="9"/>
        <v>OK</v>
      </c>
      <c r="J31" s="50" t="str">
        <f t="shared" si="9"/>
        <v>OK</v>
      </c>
      <c r="K31" s="50" t="str">
        <f t="shared" si="9"/>
        <v>OK</v>
      </c>
      <c r="L31" s="50" t="str">
        <f t="shared" si="9"/>
        <v>OK</v>
      </c>
      <c r="M31" s="50" t="str">
        <f t="shared" si="9"/>
        <v>OK</v>
      </c>
      <c r="N31" s="50" t="str">
        <f t="shared" si="9"/>
        <v>Below min</v>
      </c>
      <c r="O31" s="50" t="str">
        <f t="shared" si="9"/>
        <v>OK</v>
      </c>
      <c r="P31" s="50" t="str">
        <f t="shared" si="9"/>
        <v>OK</v>
      </c>
    </row>
    <row r="33" spans="2:17" ht="22" customHeight="1" x14ac:dyDescent="0.2">
      <c r="B33" s="9" t="s">
        <v>192</v>
      </c>
      <c r="C33" s="1"/>
      <c r="D33" s="1"/>
      <c r="E33" s="1"/>
      <c r="F33" s="1"/>
      <c r="G33" s="1"/>
      <c r="H33" s="1"/>
      <c r="I33" s="1"/>
      <c r="J33" s="1"/>
      <c r="K33" s="1"/>
      <c r="L33" s="1"/>
      <c r="M33" s="1"/>
      <c r="N33" s="1"/>
      <c r="O33" s="1"/>
      <c r="P33" s="1"/>
      <c r="Q33" s="1"/>
    </row>
    <row r="34" spans="2:17" ht="14" x14ac:dyDescent="0.2">
      <c r="B34" s="56" t="s">
        <v>193</v>
      </c>
      <c r="D34" s="59">
        <v>1</v>
      </c>
      <c r="E34" s="59">
        <v>2</v>
      </c>
      <c r="F34" s="59">
        <v>3</v>
      </c>
      <c r="G34" s="59">
        <v>4</v>
      </c>
      <c r="H34" s="59">
        <v>5</v>
      </c>
      <c r="I34" s="59">
        <v>6</v>
      </c>
      <c r="J34" s="59">
        <v>7</v>
      </c>
      <c r="K34" s="59">
        <v>8</v>
      </c>
      <c r="L34" s="59">
        <v>9</v>
      </c>
      <c r="M34" s="59">
        <v>10</v>
      </c>
      <c r="N34" s="59">
        <v>11</v>
      </c>
      <c r="O34" s="59">
        <v>12</v>
      </c>
      <c r="P34" s="59">
        <v>13</v>
      </c>
    </row>
    <row r="35" spans="2:17" ht="14" x14ac:dyDescent="0.2">
      <c r="B35" s="56" t="s">
        <v>194</v>
      </c>
      <c r="D35" s="60">
        <f t="shared" ref="D35:P35" si="10">D$6+6</f>
        <v>46327</v>
      </c>
      <c r="E35" s="60">
        <f t="shared" si="10"/>
        <v>46334</v>
      </c>
      <c r="F35" s="60">
        <f t="shared" si="10"/>
        <v>46341</v>
      </c>
      <c r="G35" s="60">
        <f t="shared" si="10"/>
        <v>46348</v>
      </c>
      <c r="H35" s="60">
        <f t="shared" si="10"/>
        <v>46355</v>
      </c>
      <c r="I35" s="60">
        <f t="shared" si="10"/>
        <v>46362</v>
      </c>
      <c r="J35" s="60">
        <f t="shared" si="10"/>
        <v>46369</v>
      </c>
      <c r="K35" s="60">
        <f t="shared" si="10"/>
        <v>46376</v>
      </c>
      <c r="L35" s="60">
        <f t="shared" si="10"/>
        <v>46383</v>
      </c>
      <c r="M35" s="60">
        <f t="shared" si="10"/>
        <v>46390</v>
      </c>
      <c r="N35" s="60">
        <f t="shared" si="10"/>
        <v>46397</v>
      </c>
      <c r="O35" s="60">
        <f t="shared" si="10"/>
        <v>46404</v>
      </c>
      <c r="P35" s="60">
        <f t="shared" si="10"/>
        <v>46411</v>
      </c>
    </row>
    <row r="36" spans="2:17" ht="14" x14ac:dyDescent="0.2">
      <c r="B36" s="56" t="s">
        <v>195</v>
      </c>
      <c r="D36" s="61">
        <f>IF(Inputs!$D$15="Monthly",IF(OR(AND(DATE(YEAR(D$6),MONTH(D$6),$D$52)&gt;=D$6,DATE(YEAR(D$6),MONTH(D$6),$D$52)&lt;=D$6+6,DATE(YEAR(D$6),MONTH(D$6),$D$52)&gt;=Inputs!$D$16),AND(DATE(YEAR(D$6+6),MONTH(D$6+6),$D$52)&gt;=D$6,DATE(YEAR(D$6+6),MONTH(D$6+6),$D$52)&lt;=D$6+6,DATE(YEAR(D$6+6),MONTH(D$6+6),$D$52)&gt;=Inputs!$D$16)),1,0),IF(Inputs!$D$16&gt;D$6+6,0,IF(OR(MOD(D$6-Inputs!$D$16,$D$51)=0,$D$51-MOD(D$6-Inputs!$D$16,$D$51)&lt;=6),1,0)))</f>
        <v>1</v>
      </c>
      <c r="E36" s="61">
        <f>IF(Inputs!$D$15="Monthly",IF(OR(AND(DATE(YEAR(E$6),MONTH(E$6),$D$52)&gt;=E$6,DATE(YEAR(E$6),MONTH(E$6),$D$52)&lt;=E$6+6,DATE(YEAR(E$6),MONTH(E$6),$D$52)&gt;=Inputs!$D$16),AND(DATE(YEAR(E$6+6),MONTH(E$6+6),$D$52)&gt;=E$6,DATE(YEAR(E$6+6),MONTH(E$6+6),$D$52)&lt;=E$6+6,DATE(YEAR(E$6+6),MONTH(E$6+6),$D$52)&gt;=Inputs!$D$16)),1,0),IF(Inputs!$D$16&gt;E$6+6,0,IF(OR(MOD(E$6-Inputs!$D$16,$D$51)=0,$D$51-MOD(E$6-Inputs!$D$16,$D$51)&lt;=6),1,0)))</f>
        <v>0</v>
      </c>
      <c r="F36" s="61">
        <f>IF(Inputs!$D$15="Monthly",IF(OR(AND(DATE(YEAR(F$6),MONTH(F$6),$D$52)&gt;=F$6,DATE(YEAR(F$6),MONTH(F$6),$D$52)&lt;=F$6+6,DATE(YEAR(F$6),MONTH(F$6),$D$52)&gt;=Inputs!$D$16),AND(DATE(YEAR(F$6+6),MONTH(F$6+6),$D$52)&gt;=F$6,DATE(YEAR(F$6+6),MONTH(F$6+6),$D$52)&lt;=F$6+6,DATE(YEAR(F$6+6),MONTH(F$6+6),$D$52)&gt;=Inputs!$D$16)),1,0),IF(Inputs!$D$16&gt;F$6+6,0,IF(OR(MOD(F$6-Inputs!$D$16,$D$51)=0,$D$51-MOD(F$6-Inputs!$D$16,$D$51)&lt;=6),1,0)))</f>
        <v>1</v>
      </c>
      <c r="G36" s="61">
        <f>IF(Inputs!$D$15="Monthly",IF(OR(AND(DATE(YEAR(G$6),MONTH(G$6),$D$52)&gt;=G$6,DATE(YEAR(G$6),MONTH(G$6),$D$52)&lt;=G$6+6,DATE(YEAR(G$6),MONTH(G$6),$D$52)&gt;=Inputs!$D$16),AND(DATE(YEAR(G$6+6),MONTH(G$6+6),$D$52)&gt;=G$6,DATE(YEAR(G$6+6),MONTH(G$6+6),$D$52)&lt;=G$6+6,DATE(YEAR(G$6+6),MONTH(G$6+6),$D$52)&gt;=Inputs!$D$16)),1,0),IF(Inputs!$D$16&gt;G$6+6,0,IF(OR(MOD(G$6-Inputs!$D$16,$D$51)=0,$D$51-MOD(G$6-Inputs!$D$16,$D$51)&lt;=6),1,0)))</f>
        <v>0</v>
      </c>
      <c r="H36" s="61">
        <f>IF(Inputs!$D$15="Monthly",IF(OR(AND(DATE(YEAR(H$6),MONTH(H$6),$D$52)&gt;=H$6,DATE(YEAR(H$6),MONTH(H$6),$D$52)&lt;=H$6+6,DATE(YEAR(H$6),MONTH(H$6),$D$52)&gt;=Inputs!$D$16),AND(DATE(YEAR(H$6+6),MONTH(H$6+6),$D$52)&gt;=H$6,DATE(YEAR(H$6+6),MONTH(H$6+6),$D$52)&lt;=H$6+6,DATE(YEAR(H$6+6),MONTH(H$6+6),$D$52)&gt;=Inputs!$D$16)),1,0),IF(Inputs!$D$16&gt;H$6+6,0,IF(OR(MOD(H$6-Inputs!$D$16,$D$51)=0,$D$51-MOD(H$6-Inputs!$D$16,$D$51)&lt;=6),1,0)))</f>
        <v>1</v>
      </c>
      <c r="I36" s="61">
        <f>IF(Inputs!$D$15="Monthly",IF(OR(AND(DATE(YEAR(I$6),MONTH(I$6),$D$52)&gt;=I$6,DATE(YEAR(I$6),MONTH(I$6),$D$52)&lt;=I$6+6,DATE(YEAR(I$6),MONTH(I$6),$D$52)&gt;=Inputs!$D$16),AND(DATE(YEAR(I$6+6),MONTH(I$6+6),$D$52)&gt;=I$6,DATE(YEAR(I$6+6),MONTH(I$6+6),$D$52)&lt;=I$6+6,DATE(YEAR(I$6+6),MONTH(I$6+6),$D$52)&gt;=Inputs!$D$16)),1,0),IF(Inputs!$D$16&gt;I$6+6,0,IF(OR(MOD(I$6-Inputs!$D$16,$D$51)=0,$D$51-MOD(I$6-Inputs!$D$16,$D$51)&lt;=6),1,0)))</f>
        <v>0</v>
      </c>
      <c r="J36" s="61">
        <f>IF(Inputs!$D$15="Monthly",IF(OR(AND(DATE(YEAR(J$6),MONTH(J$6),$D$52)&gt;=J$6,DATE(YEAR(J$6),MONTH(J$6),$D$52)&lt;=J$6+6,DATE(YEAR(J$6),MONTH(J$6),$D$52)&gt;=Inputs!$D$16),AND(DATE(YEAR(J$6+6),MONTH(J$6+6),$D$52)&gt;=J$6,DATE(YEAR(J$6+6),MONTH(J$6+6),$D$52)&lt;=J$6+6,DATE(YEAR(J$6+6),MONTH(J$6+6),$D$52)&gt;=Inputs!$D$16)),1,0),IF(Inputs!$D$16&gt;J$6+6,0,IF(OR(MOD(J$6-Inputs!$D$16,$D$51)=0,$D$51-MOD(J$6-Inputs!$D$16,$D$51)&lt;=6),1,0)))</f>
        <v>1</v>
      </c>
      <c r="K36" s="61">
        <f>IF(Inputs!$D$15="Monthly",IF(OR(AND(DATE(YEAR(K$6),MONTH(K$6),$D$52)&gt;=K$6,DATE(YEAR(K$6),MONTH(K$6),$D$52)&lt;=K$6+6,DATE(YEAR(K$6),MONTH(K$6),$D$52)&gt;=Inputs!$D$16),AND(DATE(YEAR(K$6+6),MONTH(K$6+6),$D$52)&gt;=K$6,DATE(YEAR(K$6+6),MONTH(K$6+6),$D$52)&lt;=K$6+6,DATE(YEAR(K$6+6),MONTH(K$6+6),$D$52)&gt;=Inputs!$D$16)),1,0),IF(Inputs!$D$16&gt;K$6+6,0,IF(OR(MOD(K$6-Inputs!$D$16,$D$51)=0,$D$51-MOD(K$6-Inputs!$D$16,$D$51)&lt;=6),1,0)))</f>
        <v>0</v>
      </c>
      <c r="L36" s="61">
        <f>IF(Inputs!$D$15="Monthly",IF(OR(AND(DATE(YEAR(L$6),MONTH(L$6),$D$52)&gt;=L$6,DATE(YEAR(L$6),MONTH(L$6),$D$52)&lt;=L$6+6,DATE(YEAR(L$6),MONTH(L$6),$D$52)&gt;=Inputs!$D$16),AND(DATE(YEAR(L$6+6),MONTH(L$6+6),$D$52)&gt;=L$6,DATE(YEAR(L$6+6),MONTH(L$6+6),$D$52)&lt;=L$6+6,DATE(YEAR(L$6+6),MONTH(L$6+6),$D$52)&gt;=Inputs!$D$16)),1,0),IF(Inputs!$D$16&gt;L$6+6,0,IF(OR(MOD(L$6-Inputs!$D$16,$D$51)=0,$D$51-MOD(L$6-Inputs!$D$16,$D$51)&lt;=6),1,0)))</f>
        <v>1</v>
      </c>
      <c r="M36" s="61">
        <f>IF(Inputs!$D$15="Monthly",IF(OR(AND(DATE(YEAR(M$6),MONTH(M$6),$D$52)&gt;=M$6,DATE(YEAR(M$6),MONTH(M$6),$D$52)&lt;=M$6+6,DATE(YEAR(M$6),MONTH(M$6),$D$52)&gt;=Inputs!$D$16),AND(DATE(YEAR(M$6+6),MONTH(M$6+6),$D$52)&gt;=M$6,DATE(YEAR(M$6+6),MONTH(M$6+6),$D$52)&lt;=M$6+6,DATE(YEAR(M$6+6),MONTH(M$6+6),$D$52)&gt;=Inputs!$D$16)),1,0),IF(Inputs!$D$16&gt;M$6+6,0,IF(OR(MOD(M$6-Inputs!$D$16,$D$51)=0,$D$51-MOD(M$6-Inputs!$D$16,$D$51)&lt;=6),1,0)))</f>
        <v>0</v>
      </c>
      <c r="N36" s="61">
        <f>IF(Inputs!$D$15="Monthly",IF(OR(AND(DATE(YEAR(N$6),MONTH(N$6),$D$52)&gt;=N$6,DATE(YEAR(N$6),MONTH(N$6),$D$52)&lt;=N$6+6,DATE(YEAR(N$6),MONTH(N$6),$D$52)&gt;=Inputs!$D$16),AND(DATE(YEAR(N$6+6),MONTH(N$6+6),$D$52)&gt;=N$6,DATE(YEAR(N$6+6),MONTH(N$6+6),$D$52)&lt;=N$6+6,DATE(YEAR(N$6+6),MONTH(N$6+6),$D$52)&gt;=Inputs!$D$16)),1,0),IF(Inputs!$D$16&gt;N$6+6,0,IF(OR(MOD(N$6-Inputs!$D$16,$D$51)=0,$D$51-MOD(N$6-Inputs!$D$16,$D$51)&lt;=6),1,0)))</f>
        <v>1</v>
      </c>
      <c r="O36" s="61">
        <f>IF(Inputs!$D$15="Monthly",IF(OR(AND(DATE(YEAR(O$6),MONTH(O$6),$D$52)&gt;=O$6,DATE(YEAR(O$6),MONTH(O$6),$D$52)&lt;=O$6+6,DATE(YEAR(O$6),MONTH(O$6),$D$52)&gt;=Inputs!$D$16),AND(DATE(YEAR(O$6+6),MONTH(O$6+6),$D$52)&gt;=O$6,DATE(YEAR(O$6+6),MONTH(O$6+6),$D$52)&lt;=O$6+6,DATE(YEAR(O$6+6),MONTH(O$6+6),$D$52)&gt;=Inputs!$D$16)),1,0),IF(Inputs!$D$16&gt;O$6+6,0,IF(OR(MOD(O$6-Inputs!$D$16,$D$51)=0,$D$51-MOD(O$6-Inputs!$D$16,$D$51)&lt;=6),1,0)))</f>
        <v>0</v>
      </c>
      <c r="P36" s="61">
        <f>IF(Inputs!$D$15="Monthly",IF(OR(AND(DATE(YEAR(P$6),MONTH(P$6),$D$52)&gt;=P$6,DATE(YEAR(P$6),MONTH(P$6),$D$52)&lt;=P$6+6,DATE(YEAR(P$6),MONTH(P$6),$D$52)&gt;=Inputs!$D$16),AND(DATE(YEAR(P$6+6),MONTH(P$6+6),$D$52)&gt;=P$6,DATE(YEAR(P$6+6),MONTH(P$6+6),$D$52)&lt;=P$6+6,DATE(YEAR(P$6+6),MONTH(P$6+6),$D$52)&gt;=Inputs!$D$16)),1,0),IF(Inputs!$D$16&gt;P$6+6,0,IF(OR(MOD(P$6-Inputs!$D$16,$D$51)=0,$D$51-MOD(P$6-Inputs!$D$16,$D$51)&lt;=6),1,0)))</f>
        <v>1</v>
      </c>
    </row>
    <row r="37" spans="2:17" ht="14" x14ac:dyDescent="0.2">
      <c r="B37" s="56" t="s">
        <v>196</v>
      </c>
      <c r="D37" s="61">
        <f>IF(OR(AND(DATE(YEAR(D$6),MONTH(D$6),Inputs!$D$20)&gt;=D$6,DATE(YEAR(D$6),MONTH(D$6),Inputs!$D$20)&lt;=D$6+6),AND(DATE(YEAR(D$6+6),MONTH(D$6+6),Inputs!$D$20)&gt;=D$6,DATE(YEAR(D$6+6),MONTH(D$6+6),Inputs!$D$20)&lt;=D$6+6)),1,0)</f>
        <v>0</v>
      </c>
      <c r="E37" s="61">
        <f>IF(OR(AND(DATE(YEAR(E$6),MONTH(E$6),Inputs!$D$20)&gt;=E$6,DATE(YEAR(E$6),MONTH(E$6),Inputs!$D$20)&lt;=E$6+6),AND(DATE(YEAR(E$6+6),MONTH(E$6+6),Inputs!$D$20)&gt;=E$6,DATE(YEAR(E$6+6),MONTH(E$6+6),Inputs!$D$20)&lt;=E$6+6)),1,0)</f>
        <v>1</v>
      </c>
      <c r="F37" s="61">
        <f>IF(OR(AND(DATE(YEAR(F$6),MONTH(F$6),Inputs!$D$20)&gt;=F$6,DATE(YEAR(F$6),MONTH(F$6),Inputs!$D$20)&lt;=F$6+6),AND(DATE(YEAR(F$6+6),MONTH(F$6+6),Inputs!$D$20)&gt;=F$6,DATE(YEAR(F$6+6),MONTH(F$6+6),Inputs!$D$20)&lt;=F$6+6)),1,0)</f>
        <v>0</v>
      </c>
      <c r="G37" s="61">
        <f>IF(OR(AND(DATE(YEAR(G$6),MONTH(G$6),Inputs!$D$20)&gt;=G$6,DATE(YEAR(G$6),MONTH(G$6),Inputs!$D$20)&lt;=G$6+6),AND(DATE(YEAR(G$6+6),MONTH(G$6+6),Inputs!$D$20)&gt;=G$6,DATE(YEAR(G$6+6),MONTH(G$6+6),Inputs!$D$20)&lt;=G$6+6)),1,0)</f>
        <v>0</v>
      </c>
      <c r="H37" s="61">
        <f>IF(OR(AND(DATE(YEAR(H$6),MONTH(H$6),Inputs!$D$20)&gt;=H$6,DATE(YEAR(H$6),MONTH(H$6),Inputs!$D$20)&lt;=H$6+6),AND(DATE(YEAR(H$6+6),MONTH(H$6+6),Inputs!$D$20)&gt;=H$6,DATE(YEAR(H$6+6),MONTH(H$6+6),Inputs!$D$20)&lt;=H$6+6)),1,0)</f>
        <v>0</v>
      </c>
      <c r="I37" s="61">
        <f>IF(OR(AND(DATE(YEAR(I$6),MONTH(I$6),Inputs!$D$20)&gt;=I$6,DATE(YEAR(I$6),MONTH(I$6),Inputs!$D$20)&lt;=I$6+6),AND(DATE(YEAR(I$6+6),MONTH(I$6+6),Inputs!$D$20)&gt;=I$6,DATE(YEAR(I$6+6),MONTH(I$6+6),Inputs!$D$20)&lt;=I$6+6)),1,0)</f>
        <v>0</v>
      </c>
      <c r="J37" s="61">
        <f>IF(OR(AND(DATE(YEAR(J$6),MONTH(J$6),Inputs!$D$20)&gt;=J$6,DATE(YEAR(J$6),MONTH(J$6),Inputs!$D$20)&lt;=J$6+6),AND(DATE(YEAR(J$6+6),MONTH(J$6+6),Inputs!$D$20)&gt;=J$6,DATE(YEAR(J$6+6),MONTH(J$6+6),Inputs!$D$20)&lt;=J$6+6)),1,0)</f>
        <v>1</v>
      </c>
      <c r="K37" s="61">
        <f>IF(OR(AND(DATE(YEAR(K$6),MONTH(K$6),Inputs!$D$20)&gt;=K$6,DATE(YEAR(K$6),MONTH(K$6),Inputs!$D$20)&lt;=K$6+6),AND(DATE(YEAR(K$6+6),MONTH(K$6+6),Inputs!$D$20)&gt;=K$6,DATE(YEAR(K$6+6),MONTH(K$6+6),Inputs!$D$20)&lt;=K$6+6)),1,0)</f>
        <v>0</v>
      </c>
      <c r="L37" s="61">
        <f>IF(OR(AND(DATE(YEAR(L$6),MONTH(L$6),Inputs!$D$20)&gt;=L$6,DATE(YEAR(L$6),MONTH(L$6),Inputs!$D$20)&lt;=L$6+6),AND(DATE(YEAR(L$6+6),MONTH(L$6+6),Inputs!$D$20)&gt;=L$6,DATE(YEAR(L$6+6),MONTH(L$6+6),Inputs!$D$20)&lt;=L$6+6)),1,0)</f>
        <v>0</v>
      </c>
      <c r="M37" s="61">
        <f>IF(OR(AND(DATE(YEAR(M$6),MONTH(M$6),Inputs!$D$20)&gt;=M$6,DATE(YEAR(M$6),MONTH(M$6),Inputs!$D$20)&lt;=M$6+6),AND(DATE(YEAR(M$6+6),MONTH(M$6+6),Inputs!$D$20)&gt;=M$6,DATE(YEAR(M$6+6),MONTH(M$6+6),Inputs!$D$20)&lt;=M$6+6)),1,0)</f>
        <v>0</v>
      </c>
      <c r="N37" s="61">
        <f>IF(OR(AND(DATE(YEAR(N$6),MONTH(N$6),Inputs!$D$20)&gt;=N$6,DATE(YEAR(N$6),MONTH(N$6),Inputs!$D$20)&lt;=N$6+6),AND(DATE(YEAR(N$6+6),MONTH(N$6+6),Inputs!$D$20)&gt;=N$6,DATE(YEAR(N$6+6),MONTH(N$6+6),Inputs!$D$20)&lt;=N$6+6)),1,0)</f>
        <v>1</v>
      </c>
      <c r="O37" s="61">
        <f>IF(OR(AND(DATE(YEAR(O$6),MONTH(O$6),Inputs!$D$20)&gt;=O$6,DATE(YEAR(O$6),MONTH(O$6),Inputs!$D$20)&lt;=O$6+6),AND(DATE(YEAR(O$6+6),MONTH(O$6+6),Inputs!$D$20)&gt;=O$6,DATE(YEAR(O$6+6),MONTH(O$6+6),Inputs!$D$20)&lt;=O$6+6)),1,0)</f>
        <v>0</v>
      </c>
      <c r="P37" s="61">
        <f>IF(OR(AND(DATE(YEAR(P$6),MONTH(P$6),Inputs!$D$20)&gt;=P$6,DATE(YEAR(P$6),MONTH(P$6),Inputs!$D$20)&lt;=P$6+6),AND(DATE(YEAR(P$6+6),MONTH(P$6+6),Inputs!$D$20)&gt;=P$6,DATE(YEAR(P$6+6),MONTH(P$6+6),Inputs!$D$20)&lt;=P$6+6)),1,0)</f>
        <v>0</v>
      </c>
    </row>
    <row r="38" spans="2:17" ht="14" x14ac:dyDescent="0.2">
      <c r="B38" s="56" t="s">
        <v>197</v>
      </c>
      <c r="D38" s="51">
        <f>Inputs!$D$31</f>
        <v>56000</v>
      </c>
      <c r="E38" s="51">
        <f>Inputs!$E$31</f>
        <v>44000</v>
      </c>
      <c r="F38" s="51">
        <f>Inputs!$F$31</f>
        <v>52000</v>
      </c>
      <c r="G38" s="51">
        <f>Inputs!$G$31</f>
        <v>61000</v>
      </c>
      <c r="H38" s="51">
        <f>Inputs!$H$31</f>
        <v>47000</v>
      </c>
      <c r="I38" s="51">
        <f>Inputs!$I$31</f>
        <v>55000</v>
      </c>
      <c r="J38" s="51">
        <f>Inputs!$J$31</f>
        <v>63000</v>
      </c>
      <c r="K38" s="51">
        <f>Inputs!$K$31</f>
        <v>50000</v>
      </c>
      <c r="L38" s="51">
        <f>Inputs!$L$31</f>
        <v>26000</v>
      </c>
      <c r="M38" s="51">
        <f>Inputs!$M$31</f>
        <v>15000</v>
      </c>
      <c r="N38" s="51">
        <f>Inputs!$N$31</f>
        <v>43000</v>
      </c>
      <c r="O38" s="51">
        <f>Inputs!$O$31</f>
        <v>58000</v>
      </c>
      <c r="P38" s="51">
        <f>Inputs!$P$31</f>
        <v>54000</v>
      </c>
    </row>
    <row r="39" spans="2:17" ht="14" x14ac:dyDescent="0.2">
      <c r="B39" s="56" t="s">
        <v>198</v>
      </c>
      <c r="D39" s="51">
        <f>(1-Inputs!$D$24)*IF(D34-Inputs!$D$25&gt;=1,INDEX(Inputs!$D$31:$P$31,1,D34-Inputs!$D$25),0)</f>
        <v>0</v>
      </c>
      <c r="E39" s="51">
        <f>(1-Inputs!$D$24)*IF(E34-Inputs!$D$25&gt;=1,INDEX(Inputs!$D$31:$P$31,1,E34-Inputs!$D$25),0)</f>
        <v>50400</v>
      </c>
      <c r="F39" s="51">
        <f>(1-Inputs!$D$24)*IF(F34-Inputs!$D$25&gt;=1,INDEX(Inputs!$D$31:$P$31,1,F34-Inputs!$D$25),0)</f>
        <v>39600</v>
      </c>
      <c r="G39" s="51">
        <f>(1-Inputs!$D$24)*IF(G34-Inputs!$D$25&gt;=1,INDEX(Inputs!$D$31:$P$31,1,G34-Inputs!$D$25),0)</f>
        <v>46800</v>
      </c>
      <c r="H39" s="51">
        <f>(1-Inputs!$D$24)*IF(H34-Inputs!$D$25&gt;=1,INDEX(Inputs!$D$31:$P$31,1,H34-Inputs!$D$25),0)</f>
        <v>54900</v>
      </c>
      <c r="I39" s="51">
        <f>(1-Inputs!$D$24)*IF(I34-Inputs!$D$25&gt;=1,INDEX(Inputs!$D$31:$P$31,1,I34-Inputs!$D$25),0)</f>
        <v>42300</v>
      </c>
      <c r="J39" s="51">
        <f>(1-Inputs!$D$24)*IF(J34-Inputs!$D$25&gt;=1,INDEX(Inputs!$D$31:$P$31,1,J34-Inputs!$D$25),0)</f>
        <v>49500</v>
      </c>
      <c r="K39" s="51">
        <f>(1-Inputs!$D$24)*IF(K34-Inputs!$D$25&gt;=1,INDEX(Inputs!$D$31:$P$31,1,K34-Inputs!$D$25),0)</f>
        <v>56700</v>
      </c>
      <c r="L39" s="51">
        <f>(1-Inputs!$D$24)*IF(L34-Inputs!$D$25&gt;=1,INDEX(Inputs!$D$31:$P$31,1,L34-Inputs!$D$25),0)</f>
        <v>45000</v>
      </c>
      <c r="M39" s="51">
        <f>(1-Inputs!$D$24)*IF(M34-Inputs!$D$25&gt;=1,INDEX(Inputs!$D$31:$P$31,1,M34-Inputs!$D$25),0)</f>
        <v>23400</v>
      </c>
      <c r="N39" s="51">
        <f>(1-Inputs!$D$24)*IF(N34-Inputs!$D$25&gt;=1,INDEX(Inputs!$D$31:$P$31,1,N34-Inputs!$D$25),0)</f>
        <v>13500</v>
      </c>
      <c r="O39" s="51">
        <f>(1-Inputs!$D$24)*IF(O34-Inputs!$D$25&gt;=1,INDEX(Inputs!$D$31:$P$31,1,O34-Inputs!$D$25),0)</f>
        <v>38700</v>
      </c>
      <c r="P39" s="51">
        <f>(1-Inputs!$D$24)*IF(P34-Inputs!$D$25&gt;=1,INDEX(Inputs!$D$31:$P$31,1,P34-Inputs!$D$25),0)</f>
        <v>52200</v>
      </c>
    </row>
    <row r="40" spans="2:17" ht="14" x14ac:dyDescent="0.2">
      <c r="B40" s="56" t="s">
        <v>199</v>
      </c>
      <c r="D40" s="51">
        <f t="shared" ref="D40:P40" si="11">D11+D12-D25</f>
        <v>-67000</v>
      </c>
      <c r="E40" s="51">
        <f t="shared" si="11"/>
        <v>-13373.6</v>
      </c>
      <c r="F40" s="51">
        <f t="shared" si="11"/>
        <v>-62900</v>
      </c>
      <c r="G40" s="51">
        <f t="shared" si="11"/>
        <v>-35880</v>
      </c>
      <c r="H40" s="51">
        <f t="shared" si="11"/>
        <v>-97200</v>
      </c>
      <c r="I40" s="51">
        <f t="shared" si="11"/>
        <v>-21800</v>
      </c>
      <c r="J40" s="51">
        <f t="shared" si="11"/>
        <v>-61073.599999999999</v>
      </c>
      <c r="K40" s="51">
        <f t="shared" si="11"/>
        <v>-29700</v>
      </c>
      <c r="L40" s="51">
        <f t="shared" si="11"/>
        <v>-75080</v>
      </c>
      <c r="M40" s="51">
        <f t="shared" si="11"/>
        <v>-16800</v>
      </c>
      <c r="N40" s="51">
        <f t="shared" si="11"/>
        <v>-51073.599999999999</v>
      </c>
      <c r="O40" s="51">
        <f t="shared" si="11"/>
        <v>-18200</v>
      </c>
      <c r="P40" s="51">
        <f t="shared" si="11"/>
        <v>-81580</v>
      </c>
    </row>
    <row r="41" spans="2:17" ht="14" x14ac:dyDescent="0.2">
      <c r="B41" s="52" t="s">
        <v>200</v>
      </c>
      <c r="D41" s="43">
        <f>Inputs!$D$9+D38+D40</f>
        <v>94000</v>
      </c>
      <c r="E41" s="43">
        <f t="shared" ref="E41:P41" si="12">D41+E38+E40</f>
        <v>124626.4</v>
      </c>
      <c r="F41" s="43">
        <f t="shared" si="12"/>
        <v>113726.39999999999</v>
      </c>
      <c r="G41" s="43">
        <f t="shared" si="12"/>
        <v>138846.39999999999</v>
      </c>
      <c r="H41" s="43">
        <f t="shared" si="12"/>
        <v>88646.399999999994</v>
      </c>
      <c r="I41" s="43">
        <f t="shared" si="12"/>
        <v>121846.39999999999</v>
      </c>
      <c r="J41" s="43">
        <f t="shared" si="12"/>
        <v>123772.79999999999</v>
      </c>
      <c r="K41" s="43">
        <f t="shared" si="12"/>
        <v>144072.79999999999</v>
      </c>
      <c r="L41" s="43">
        <f t="shared" si="12"/>
        <v>94992.799999999988</v>
      </c>
      <c r="M41" s="43">
        <f t="shared" si="12"/>
        <v>93192.799999999988</v>
      </c>
      <c r="N41" s="43">
        <f t="shared" si="12"/>
        <v>85119.199999999983</v>
      </c>
      <c r="O41" s="43">
        <f t="shared" si="12"/>
        <v>124919.19999999998</v>
      </c>
      <c r="P41" s="43">
        <f t="shared" si="12"/>
        <v>97339.199999999983</v>
      </c>
    </row>
    <row r="42" spans="2:17" ht="14" x14ac:dyDescent="0.2">
      <c r="B42" s="52" t="s">
        <v>201</v>
      </c>
      <c r="D42" s="43">
        <f>Inputs!$D$9+D39+D40</f>
        <v>38000</v>
      </c>
      <c r="E42" s="43">
        <f t="shared" ref="E42:P42" si="13">D42+E39+E40</f>
        <v>75026.399999999994</v>
      </c>
      <c r="F42" s="43">
        <f t="shared" si="13"/>
        <v>51726.399999999994</v>
      </c>
      <c r="G42" s="43">
        <f t="shared" si="13"/>
        <v>62646.399999999994</v>
      </c>
      <c r="H42" s="43">
        <f t="shared" si="13"/>
        <v>20346.399999999994</v>
      </c>
      <c r="I42" s="43">
        <f t="shared" si="13"/>
        <v>40846.399999999994</v>
      </c>
      <c r="J42" s="43">
        <f t="shared" si="13"/>
        <v>29272.799999999996</v>
      </c>
      <c r="K42" s="43">
        <f t="shared" si="13"/>
        <v>56272.799999999988</v>
      </c>
      <c r="L42" s="43">
        <f t="shared" si="13"/>
        <v>26192.799999999988</v>
      </c>
      <c r="M42" s="43">
        <f t="shared" si="13"/>
        <v>32792.799999999988</v>
      </c>
      <c r="N42" s="43">
        <f t="shared" si="13"/>
        <v>-4780.8000000000102</v>
      </c>
      <c r="O42" s="43">
        <f t="shared" si="13"/>
        <v>15719.19999999999</v>
      </c>
      <c r="P42" s="43">
        <f t="shared" si="13"/>
        <v>-13660.800000000017</v>
      </c>
    </row>
    <row r="43" spans="2:17" ht="14" x14ac:dyDescent="0.2">
      <c r="B43" s="56" t="s">
        <v>202</v>
      </c>
      <c r="D43" s="62" t="str">
        <f t="shared" ref="D43:P43" si="14">DAY(D$6)&amp;" "&amp;CHOOSE(MONTH(D$6),"Jan","Feb","Mar","Apr","May","Jun","Jul","Aug","Sep","Oct","Nov","Dec")</f>
        <v>26 Oct</v>
      </c>
      <c r="E43" s="62" t="str">
        <f t="shared" si="14"/>
        <v>2 Nov</v>
      </c>
      <c r="F43" s="62" t="str">
        <f t="shared" si="14"/>
        <v>9 Nov</v>
      </c>
      <c r="G43" s="62" t="str">
        <f t="shared" si="14"/>
        <v>16 Nov</v>
      </c>
      <c r="H43" s="62" t="str">
        <f t="shared" si="14"/>
        <v>23 Nov</v>
      </c>
      <c r="I43" s="62" t="str">
        <f t="shared" si="14"/>
        <v>30 Nov</v>
      </c>
      <c r="J43" s="62" t="str">
        <f t="shared" si="14"/>
        <v>7 Dec</v>
      </c>
      <c r="K43" s="62" t="str">
        <f t="shared" si="14"/>
        <v>14 Dec</v>
      </c>
      <c r="L43" s="62" t="str">
        <f t="shared" si="14"/>
        <v>21 Dec</v>
      </c>
      <c r="M43" s="62" t="str">
        <f t="shared" si="14"/>
        <v>28 Dec</v>
      </c>
      <c r="N43" s="62" t="str">
        <f t="shared" si="14"/>
        <v>4 Jan</v>
      </c>
      <c r="O43" s="62" t="str">
        <f t="shared" si="14"/>
        <v>11 Jan</v>
      </c>
      <c r="P43" s="62" t="str">
        <f t="shared" si="14"/>
        <v>18 Jan</v>
      </c>
    </row>
    <row r="45" spans="2:17" ht="14" x14ac:dyDescent="0.2">
      <c r="B45" s="41" t="s">
        <v>203</v>
      </c>
      <c r="C45" s="42"/>
      <c r="D45" s="42"/>
      <c r="E45" s="42"/>
      <c r="F45" s="42"/>
      <c r="G45" s="42"/>
      <c r="H45" s="42"/>
      <c r="I45" s="42"/>
      <c r="J45" s="42"/>
      <c r="K45" s="42"/>
      <c r="L45" s="42"/>
      <c r="M45" s="42"/>
      <c r="N45" s="42"/>
      <c r="O45" s="42"/>
      <c r="P45" s="42"/>
      <c r="Q45" s="42"/>
    </row>
    <row r="46" spans="2:17" ht="14" x14ac:dyDescent="0.2">
      <c r="B46" s="30" t="s">
        <v>204</v>
      </c>
      <c r="D46" s="63">
        <f>IF(Inputs!$D$15="Weekly",52,IF(Inputs!$D$15="Fortnightly",26,IF(Inputs!$D$15="Monthly",12,0)))</f>
        <v>26</v>
      </c>
    </row>
    <row r="47" spans="2:17" ht="14" x14ac:dyDescent="0.2">
      <c r="B47" s="30" t="s">
        <v>205</v>
      </c>
      <c r="D47" s="51">
        <f>Inputs!$D$14*D46</f>
        <v>1248000</v>
      </c>
    </row>
    <row r="48" spans="2:17" ht="14" x14ac:dyDescent="0.2">
      <c r="B48" s="30" t="s">
        <v>206</v>
      </c>
      <c r="D48" s="51">
        <f>Inputs!$D$14*D46/52*(1+Inputs!$D$18)*(1+Inputs!$D$19)</f>
        <v>27081.600000000006</v>
      </c>
    </row>
    <row r="49" spans="2:4" ht="14" x14ac:dyDescent="0.2">
      <c r="B49" s="30" t="s">
        <v>207</v>
      </c>
      <c r="D49" s="51">
        <f>IF(Inputs!$D$21&gt;0,Inputs!$D$21,D48)</f>
        <v>27081.600000000006</v>
      </c>
    </row>
    <row r="50" spans="2:4" ht="14" x14ac:dyDescent="0.2">
      <c r="B50" s="30" t="s">
        <v>208</v>
      </c>
      <c r="D50" s="64">
        <f>D47/12*(1+Inputs!$D$18)*Inputs!$D$19</f>
        <v>873.6</v>
      </c>
    </row>
    <row r="51" spans="2:4" ht="14" x14ac:dyDescent="0.2">
      <c r="B51" s="30" t="s">
        <v>209</v>
      </c>
      <c r="D51" s="63">
        <f>IF(Inputs!$D$15="Weekly",7,14)</f>
        <v>14</v>
      </c>
    </row>
    <row r="52" spans="2:4" ht="14" x14ac:dyDescent="0.2">
      <c r="B52" s="30" t="s">
        <v>210</v>
      </c>
      <c r="D52" s="63">
        <f>MIN(DAY(Inputs!$D$16),28)</f>
        <v>28</v>
      </c>
    </row>
    <row r="54" spans="2:4" ht="14" x14ac:dyDescent="0.2">
      <c r="B54" s="44" t="s">
        <v>211</v>
      </c>
    </row>
  </sheetData>
  <conditionalFormatting sqref="D27:P27">
    <cfRule type="expression" dxfId="8" priority="1" stopIfTrue="1">
      <formula>D27&lt;0</formula>
    </cfRule>
    <cfRule type="expression" dxfId="7" priority="2">
      <formula>D27&lt;D28</formula>
    </cfRule>
  </conditionalFormatting>
  <conditionalFormatting sqref="D31:P31">
    <cfRule type="cellIs" dxfId="6" priority="3" operator="equal">
      <formula>"OK"</formula>
    </cfRule>
    <cfRule type="cellIs" dxfId="5" priority="4" operator="equal">
      <formula>"Below min"</formula>
    </cfRule>
    <cfRule type="cellIs" dxfId="4" priority="5" operator="equal">
      <formula>"Below zero"</formula>
    </cfRule>
  </conditionalFormatting>
  <printOptions horizontalCentered="1"/>
  <pageMargins left="0.45" right="0.45" top="0.75" bottom="0.65" header="0.3" footer="0.3"/>
  <pageSetup paperSize="9" orientation="landscape"/>
  <headerFooter>
    <oddHeader>&amp;L&amp;8 &amp;K5F667313-Week Cash Flow Template&amp;R&amp;8 &amp;K5F6673Ivanka Menken, Strategic Mentor</oddHeader>
    <oddFooter>&amp;L&amp;8 &amp;K5F6673https://ivankamenken.com&amp;C&amp;8 &amp;K5F6673Page &amp;P of &amp;N&amp;R&amp;8 &amp;K5F6673&amp;A</oddFooter>
    <evenHeader>&amp;L&amp;8 &amp;K5F667313-Week Cash Flow Template&amp;R&amp;8 &amp;K5F6673Ivanka Menken, Strategic Mentor</evenHeader>
    <evenFooter>&amp;L&amp;8 &amp;K5F6673https://ivankamenken.com&amp;C&amp;8 &amp;K5F6673Page &amp;P of &amp;N&amp;R&amp;8 &amp;K5F6673&amp;A</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E7D4F"/>
    <pageSetUpPr fitToPage="1"/>
  </sheetPr>
  <dimension ref="B1:E24"/>
  <sheetViews>
    <sheetView showGridLines="0" workbookViewId="0">
      <pane ySplit="7" topLeftCell="A8" activePane="bottomLeft" state="frozen"/>
      <selection pane="bottomLeft"/>
    </sheetView>
  </sheetViews>
  <sheetFormatPr baseColWidth="10" defaultColWidth="9" defaultRowHeight="18" customHeight="1" x14ac:dyDescent="0.2"/>
  <cols>
    <col min="1" max="1" width="2.3984375" customWidth="1"/>
    <col min="2" max="2" width="6" customWidth="1"/>
    <col min="3" max="3" width="52" customWidth="1"/>
    <col min="4" max="4" width="12" customWidth="1"/>
    <col min="5" max="5" width="74" customWidth="1"/>
    <col min="6" max="6" width="3" customWidth="1"/>
  </cols>
  <sheetData>
    <row r="1" spans="2:5" ht="10" customHeight="1" x14ac:dyDescent="0.2"/>
    <row r="2" spans="2:5" ht="34" customHeight="1" x14ac:dyDescent="0.35">
      <c r="B2" s="26" t="s">
        <v>34</v>
      </c>
    </row>
    <row r="3" spans="2:5" ht="20" customHeight="1" x14ac:dyDescent="0.2">
      <c r="B3" s="27" t="s">
        <v>212</v>
      </c>
      <c r="C3" s="28"/>
      <c r="D3" s="28"/>
      <c r="E3" s="28"/>
    </row>
    <row r="5" spans="2:5" ht="14" x14ac:dyDescent="0.2">
      <c r="C5" s="47" t="s">
        <v>213</v>
      </c>
      <c r="D5" s="65">
        <f>COUNTIF(D8:D24,"Fix")</f>
        <v>0</v>
      </c>
      <c r="E5" s="66" t="str">
        <f>IF(D5=0,"All checks pass","Fix the rows marked Fix")</f>
        <v>All checks pass</v>
      </c>
    </row>
    <row r="6" spans="2:5" ht="14" x14ac:dyDescent="0.2">
      <c r="C6" s="7" t="s">
        <v>214</v>
      </c>
      <c r="D6" s="67">
        <f>COUNTA(C8:C24)</f>
        <v>17</v>
      </c>
    </row>
    <row r="7" spans="2:5" ht="22" customHeight="1" x14ac:dyDescent="0.2">
      <c r="B7" s="68" t="s">
        <v>215</v>
      </c>
      <c r="C7" s="13" t="s">
        <v>216</v>
      </c>
      <c r="D7" s="68" t="s">
        <v>217</v>
      </c>
      <c r="E7" s="13" t="s">
        <v>218</v>
      </c>
    </row>
    <row r="8" spans="2:5" ht="30" customHeight="1" x14ac:dyDescent="0.2">
      <c r="B8" s="69">
        <v>1</v>
      </c>
      <c r="C8" s="11" t="s">
        <v>219</v>
      </c>
      <c r="D8" s="70" t="str">
        <f>IF(ISNUMBER(Inputs!$D$8),"Pass","Fix")</f>
        <v>Pass</v>
      </c>
      <c r="E8" s="71" t="s">
        <v>220</v>
      </c>
    </row>
    <row r="9" spans="2:5" ht="30" customHeight="1" x14ac:dyDescent="0.2">
      <c r="B9" s="69">
        <v>2</v>
      </c>
      <c r="C9" s="11" t="s">
        <v>221</v>
      </c>
      <c r="D9" s="70" t="str">
        <f>IF(AND(ISNUMBER(Inputs!$D$8),WEEKDAY(Inputs!$D$8,2)=1),"Pass","Fix")</f>
        <v>Pass</v>
      </c>
      <c r="E9" s="71" t="s">
        <v>222</v>
      </c>
    </row>
    <row r="10" spans="2:5" ht="30" customHeight="1" x14ac:dyDescent="0.2">
      <c r="B10" s="69">
        <v>3</v>
      </c>
      <c r="C10" s="11" t="s">
        <v>223</v>
      </c>
      <c r="D10" s="70" t="str">
        <f>IF(ISNUMBER(Inputs!$D$9),"Pass","Fix")</f>
        <v>Pass</v>
      </c>
      <c r="E10" s="71" t="s">
        <v>224</v>
      </c>
    </row>
    <row r="11" spans="2:5" ht="30" customHeight="1" x14ac:dyDescent="0.2">
      <c r="B11" s="69">
        <v>4</v>
      </c>
      <c r="C11" s="11" t="s">
        <v>225</v>
      </c>
      <c r="D11" s="70" t="str">
        <f>IF(AND(ISNUMBER(Inputs!$D$9),Inputs!$D$9&gt;=0),"Pass","Fix")</f>
        <v>Pass</v>
      </c>
      <c r="E11" s="71" t="s">
        <v>226</v>
      </c>
    </row>
    <row r="12" spans="2:5" ht="30" customHeight="1" x14ac:dyDescent="0.2">
      <c r="B12" s="69">
        <v>5</v>
      </c>
      <c r="C12" s="11" t="s">
        <v>227</v>
      </c>
      <c r="D12" s="70" t="str">
        <f>IF(AND(ISNUMBER(Inputs!$D$10),Inputs!$D$10&gt;0),"Pass","Fix")</f>
        <v>Pass</v>
      </c>
      <c r="E12" s="71" t="s">
        <v>228</v>
      </c>
    </row>
    <row r="13" spans="2:5" ht="30" customHeight="1" x14ac:dyDescent="0.2">
      <c r="B13" s="69">
        <v>6</v>
      </c>
      <c r="C13" s="11" t="s">
        <v>229</v>
      </c>
      <c r="D13" s="70" t="str">
        <f>IF(OR(Inputs!$D$11="Base",Inputs!$D$11="Downside"),"Pass","Fix")</f>
        <v>Pass</v>
      </c>
      <c r="E13" s="71" t="s">
        <v>230</v>
      </c>
    </row>
    <row r="14" spans="2:5" ht="30" customHeight="1" x14ac:dyDescent="0.2">
      <c r="B14" s="69">
        <v>7</v>
      </c>
      <c r="C14" s="11" t="s">
        <v>231</v>
      </c>
      <c r="D14" s="70" t="str">
        <f>IF(AND(ISNUMBER(Inputs!$D$14),Inputs!$D$14&gt;0),"Pass","Fix")</f>
        <v>Pass</v>
      </c>
      <c r="E14" s="71" t="s">
        <v>232</v>
      </c>
    </row>
    <row r="15" spans="2:5" ht="30" customHeight="1" x14ac:dyDescent="0.2">
      <c r="B15" s="69">
        <v>8</v>
      </c>
      <c r="C15" s="11" t="s">
        <v>233</v>
      </c>
      <c r="D15" s="70" t="str">
        <f>IF(OR(Inputs!$D$15="Weekly",Inputs!$D$15="Fortnightly",Inputs!$D$15="Monthly"),"Pass","Fix")</f>
        <v>Pass</v>
      </c>
      <c r="E15" s="71" t="s">
        <v>234</v>
      </c>
    </row>
    <row r="16" spans="2:5" ht="30" customHeight="1" x14ac:dyDescent="0.2">
      <c r="B16" s="69">
        <v>9</v>
      </c>
      <c r="C16" s="11" t="s">
        <v>235</v>
      </c>
      <c r="D16" s="70" t="str">
        <f>IF(AND(ISNUMBER(Inputs!$D$16),Inputs!$D$16&gt;=Inputs!$D$8,Inputs!$D$16&lt;Inputs!$D$8+IF(Inputs!$D$15="Monthly",31,IF(Inputs!$D$15="Weekly",7,14))),"Pass","Fix")</f>
        <v>Pass</v>
      </c>
      <c r="E16" s="71" t="s">
        <v>236</v>
      </c>
    </row>
    <row r="17" spans="2:5" ht="30" customHeight="1" x14ac:dyDescent="0.2">
      <c r="B17" s="69">
        <v>10</v>
      </c>
      <c r="C17" s="11" t="s">
        <v>237</v>
      </c>
      <c r="D17" s="70" t="str">
        <f>IF(AND(ISNUMBER(Inputs!$D$17),Inputs!$D$17&gt;=0,Inputs!$D$17&lt;=0.6),"Pass","Fix")</f>
        <v>Pass</v>
      </c>
      <c r="E17" s="71" t="s">
        <v>238</v>
      </c>
    </row>
    <row r="18" spans="2:5" ht="30" customHeight="1" x14ac:dyDescent="0.2">
      <c r="B18" s="69">
        <v>11</v>
      </c>
      <c r="C18" s="11" t="s">
        <v>239</v>
      </c>
      <c r="D18" s="70" t="str">
        <f>IF(AND(ISNUMBER(Inputs!$D$18),Inputs!$D$18&gt;=0,Inputs!$D$18&lt;=0.3),"Pass","Fix")</f>
        <v>Pass</v>
      </c>
      <c r="E18" s="71" t="s">
        <v>240</v>
      </c>
    </row>
    <row r="19" spans="2:5" ht="30" customHeight="1" x14ac:dyDescent="0.2">
      <c r="B19" s="69">
        <v>12</v>
      </c>
      <c r="C19" s="11" t="s">
        <v>241</v>
      </c>
      <c r="D19" s="70" t="str">
        <f>IF(AND(ISNUMBER(Inputs!$D$19),Inputs!$D$19&gt;=0,Inputs!$D$19&lt;=0.1),"Pass","Fix")</f>
        <v>Pass</v>
      </c>
      <c r="E19" s="71" t="s">
        <v>242</v>
      </c>
    </row>
    <row r="20" spans="2:5" ht="30" customHeight="1" x14ac:dyDescent="0.2">
      <c r="B20" s="69">
        <v>13</v>
      </c>
      <c r="C20" s="11" t="s">
        <v>243</v>
      </c>
      <c r="D20" s="70" t="str">
        <f>IF(AND(ISNUMBER(Inputs!$D$20),Inputs!$D$20&gt;=1,Inputs!$D$20&lt;=28,INT(Inputs!$D$20)=Inputs!$D$20),"Pass","Fix")</f>
        <v>Pass</v>
      </c>
      <c r="E20" s="71" t="s">
        <v>244</v>
      </c>
    </row>
    <row r="21" spans="2:5" ht="30" customHeight="1" x14ac:dyDescent="0.2">
      <c r="B21" s="69">
        <v>14</v>
      </c>
      <c r="C21" s="11" t="s">
        <v>245</v>
      </c>
      <c r="D21" s="70" t="str">
        <f>IF(AND(ISNUMBER(Inputs!$D$24),Inputs!$D$24&gt;=0,Inputs!$D$24&lt;=1,ISNUMBER(Inputs!$D$25),Inputs!$D$25&gt;=0,Inputs!$D$25&lt;=8),"Pass","Fix")</f>
        <v>Pass</v>
      </c>
      <c r="E21" s="71" t="s">
        <v>246</v>
      </c>
    </row>
    <row r="22" spans="2:5" ht="30" customHeight="1" x14ac:dyDescent="0.2">
      <c r="B22" s="69">
        <v>15</v>
      </c>
      <c r="C22" s="11" t="s">
        <v>247</v>
      </c>
      <c r="D22" s="70" t="str">
        <f>IF(COUNTIF(Inputs!$D$31:$P$41,"&lt;0")=0,"Pass","Fix")</f>
        <v>Pass</v>
      </c>
      <c r="E22" s="71" t="s">
        <v>248</v>
      </c>
    </row>
    <row r="23" spans="2:5" ht="30" customHeight="1" x14ac:dyDescent="0.2">
      <c r="B23" s="69">
        <v>16</v>
      </c>
      <c r="C23" s="11" t="s">
        <v>249</v>
      </c>
      <c r="D23" s="70" t="str">
        <f>IF(SUM(Inputs!$D$31:$P$31)&gt;0,"Pass","Fix")</f>
        <v>Pass</v>
      </c>
      <c r="E23" s="71" t="s">
        <v>250</v>
      </c>
    </row>
    <row r="24" spans="2:5" ht="30" customHeight="1" x14ac:dyDescent="0.2">
      <c r="B24" s="69">
        <v>17</v>
      </c>
      <c r="C24" s="11" t="s">
        <v>251</v>
      </c>
      <c r="D24" s="70" t="str">
        <f>IF(ABS(Inputs!$D$9+'Cash flow'!$Q$13-'Cash flow'!$Q$25-'Cash flow'!$P$27)&lt;0.01,"Pass","Fix")</f>
        <v>Pass</v>
      </c>
      <c r="E24" s="71" t="s">
        <v>252</v>
      </c>
    </row>
  </sheetData>
  <conditionalFormatting sqref="D8:D24">
    <cfRule type="cellIs" dxfId="3" priority="3" operator="equal">
      <formula>"Pass"</formula>
    </cfRule>
    <cfRule type="cellIs" dxfId="2" priority="4" operator="equal">
      <formula>"Fix"</formula>
    </cfRule>
  </conditionalFormatting>
  <conditionalFormatting sqref="E5">
    <cfRule type="cellIs" dxfId="1" priority="1" operator="equal">
      <formula>"All checks pass"</formula>
    </cfRule>
    <cfRule type="cellIs" dxfId="0" priority="2" operator="equal">
      <formula>"Fix the rows marked Fix"</formula>
    </cfRule>
  </conditionalFormatting>
  <printOptions horizontalCentered="1"/>
  <pageMargins left="0.45" right="0.45" top="0.75" bottom="0.65" header="0.3" footer="0.3"/>
  <pageSetup paperSize="9" orientation="landscape"/>
  <headerFooter>
    <oddHeader>&amp;L&amp;8 &amp;K5F667313-Week Cash Flow Template&amp;R&amp;8 &amp;K5F6673Ivanka Menken, Strategic Mentor</oddHeader>
    <oddFooter>&amp;L&amp;8 &amp;K5F6673https://ivankamenken.com&amp;C&amp;8 &amp;K5F6673Page &amp;P of &amp;N&amp;R&amp;8 &amp;K5F6673&amp;A</oddFooter>
    <evenHeader>&amp;L&amp;8 &amp;K5F667313-Week Cash Flow Template&amp;R&amp;8 &amp;K5F6673Ivanka Menken, Strategic Mentor</evenHeader>
    <evenFooter>&amp;L&amp;8 &amp;K5F6673https://ivankamenken.com&amp;C&amp;8 &amp;K5F6673Page &amp;P of &amp;N&amp;R&amp;8 &amp;K5F6673&amp;A</even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33</vt:i4>
      </vt:variant>
    </vt:vector>
  </HeadingPairs>
  <TitlesOfParts>
    <vt:vector size="38" baseType="lpstr">
      <vt:lpstr>Cover</vt:lpstr>
      <vt:lpstr>Inputs</vt:lpstr>
      <vt:lpstr>Dashboard</vt:lpstr>
      <vt:lpstr>Cash flow</vt:lpstr>
      <vt:lpstr>Checks</vt:lpstr>
      <vt:lpstr>BusinessName</vt:lpstr>
      <vt:lpstr>CustomerReceipts</vt:lpstr>
      <vt:lpstr>DownsideDelayWeeks</vt:lpstr>
      <vt:lpstr>DownsideHaircut</vt:lpstr>
      <vt:lpstr>FinanceIn</vt:lpstr>
      <vt:lpstr>GrossWagesPerRun</vt:lpstr>
      <vt:lpstr>GstBasPayments</vt:lpstr>
      <vt:lpstr>LoanRepayments</vt:lpstr>
      <vt:lpstr>MinimumCash</vt:lpstr>
      <vt:lpstr>NextPayDay</vt:lpstr>
      <vt:lpstr>OpeningCash</vt:lpstr>
      <vt:lpstr>OtherIncome</vt:lpstr>
      <vt:lpstr>OtherPayments</vt:lpstr>
      <vt:lpstr>OtherPayroll</vt:lpstr>
      <vt:lpstr>PayFrequency</vt:lpstr>
      <vt:lpstr>PaygWithholdingPaid</vt:lpstr>
      <vt:lpstr>PaygWithholdingRate</vt:lpstr>
      <vt:lpstr>PayrollTaxDay</vt:lpstr>
      <vt:lpstr>PayrollTaxRate</vt:lpstr>
      <vt:lpstr>'Cash flow'!Print_Area</vt:lpstr>
      <vt:lpstr>Checks!Print_Area</vt:lpstr>
      <vt:lpstr>Cover!Print_Area</vt:lpstr>
      <vt:lpstr>Dashboard!Print_Area</vt:lpstr>
      <vt:lpstr>Inputs!Print_Area</vt:lpstr>
      <vt:lpstr>'Cash flow'!Print_Titles</vt:lpstr>
      <vt:lpstr>Checks!Print_Titles</vt:lpstr>
      <vt:lpstr>Inputs!Print_Titles</vt:lpstr>
      <vt:lpstr>Rent</vt:lpstr>
      <vt:lpstr>Scenario</vt:lpstr>
      <vt:lpstr>SuperGuaranteeRate</vt:lpstr>
      <vt:lpstr>Suppliers</vt:lpstr>
      <vt:lpstr>WeeklyPayrollOverride</vt:lpstr>
      <vt:lpstr>WeekOneStart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13-Week Cash Flow Template</dc:title>
  <dc:subject>A 13-week cash flow forecast for founders, with Base and Downside scenarios</dc:subject>
  <dc:creator>Ivanka Menken</dc:creator>
  <cp:keywords>13-week cash flow, cash flow forecast, weeks of payroll covered, minimum cash, founders, Australia, Ivanka Menken</cp:keywords>
  <dc:description>Thirteen weeks of receipts and payments by type, payroll worked out for you, closing cash against your own minimum, a downside scenario and a dashboard. Free template from https://ivankamenken.com/templates/13-week-cash-flow-template</dc:description>
  <cp:lastModifiedBy>The Art of Service theartofservice.com</cp:lastModifiedBy>
  <dcterms:created xsi:type="dcterms:W3CDTF">2026-10-21T02:26:27Z</dcterms:created>
  <dcterms:modified xsi:type="dcterms:W3CDTF">2026-10-21T02:26:30Z</dcterms:modified>
  <cp:category>Free template for founders</cp:category>
</cp:coreProperties>
</file>