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administrator/Library/Containers/com.microsoft.Excel/Data/ivankamenken-templates/"/>
    </mc:Choice>
  </mc:AlternateContent>
  <xr:revisionPtr revIDLastSave="0" documentId="8_{4D437420-094F-F44C-BB03-429F611A2EDF}" xr6:coauthVersionLast="47" xr6:coauthVersionMax="47" xr10:uidLastSave="{00000000-0000-0000-0000-000000000000}"/>
  <bookViews>
    <workbookView xWindow="0" yWindow="500" windowWidth="38400" windowHeight="19760" xr2:uid="{00000000-000D-0000-FFFF-FFFF00000000}"/>
  </bookViews>
  <sheets>
    <sheet name="Cover" sheetId="1" r:id="rId1"/>
    <sheet name="Inputs" sheetId="2" r:id="rId2"/>
    <sheet name="Dashboard" sheetId="3" r:id="rId3"/>
    <sheet name="Sensitivity" sheetId="4" r:id="rId4"/>
    <sheet name="Calculations" sheetId="5" r:id="rId5"/>
    <sheet name="Checks" sheetId="6" r:id="rId6"/>
  </sheets>
  <definedNames>
    <definedName name="BusinessName">Inputs!$D$7</definedName>
    <definedName name="CostMethod">Inputs!$D$10</definedName>
    <definedName name="CurrentPrice">Inputs!$D$9</definedName>
    <definedName name="CurrentVolume">Inputs!$D$13</definedName>
    <definedName name="ExpectedVolumeLoss">Inputs!$D$18</definedName>
    <definedName name="GrossMarginInput">Inputs!$D$12</definedName>
    <definedName name="_xlnm.Print_Area" localSheetId="4">Calculations!$A$1:$G$72</definedName>
    <definedName name="_xlnm.Print_Area" localSheetId="5">Checks!$A$1:$F$23</definedName>
    <definedName name="_xlnm.Print_Area" localSheetId="0">Cover!$A$1:$J$49</definedName>
    <definedName name="_xlnm.Print_Area" localSheetId="2">Dashboard!$A$1:$Q$36</definedName>
    <definedName name="_xlnm.Print_Area" localSheetId="1">Inputs!$A$1:$G$22</definedName>
    <definedName name="_xlnm.Print_Area" localSheetId="3">Sensitivity!$A$1:$P$23</definedName>
    <definedName name="_xlnm.Print_Titles" localSheetId="5">Checks!$7:$7</definedName>
    <definedName name="ProposedDiscount">Inputs!$D$17</definedName>
    <definedName name="ProposedPriceChange">Inputs!$D$16</definedName>
    <definedName name="TargetGrossMargin">Inputs!$D$19</definedName>
    <definedName name="UnitCost">Inputs!$D$11</definedName>
    <definedName name="UnitName">Inputs!$D$8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6" l="1"/>
  <c r="D19" i="6"/>
  <c r="D16" i="6"/>
  <c r="D15" i="6"/>
  <c r="D12" i="6"/>
  <c r="D11" i="6"/>
  <c r="D10" i="6"/>
  <c r="D9" i="6"/>
  <c r="D8" i="6"/>
  <c r="D6" i="6"/>
  <c r="F72" i="5"/>
  <c r="F71" i="5"/>
  <c r="F70" i="5"/>
  <c r="F44" i="5"/>
  <c r="D29" i="5"/>
  <c r="D23" i="5"/>
  <c r="D13" i="5"/>
  <c r="D9" i="5"/>
  <c r="D6" i="5"/>
  <c r="D7" i="5" s="1"/>
  <c r="O20" i="4"/>
  <c r="N20" i="4"/>
  <c r="M20" i="4"/>
  <c r="L20" i="4"/>
  <c r="K20" i="4"/>
  <c r="J20" i="4"/>
  <c r="I20" i="4"/>
  <c r="H20" i="4"/>
  <c r="G20" i="4"/>
  <c r="F20" i="4"/>
  <c r="E20" i="4"/>
  <c r="D20" i="4"/>
  <c r="C20" i="4"/>
  <c r="O19" i="4"/>
  <c r="N19" i="4"/>
  <c r="M19" i="4"/>
  <c r="L19" i="4"/>
  <c r="K19" i="4"/>
  <c r="J19" i="4"/>
  <c r="I19" i="4"/>
  <c r="H19" i="4"/>
  <c r="G19" i="4"/>
  <c r="F19" i="4"/>
  <c r="E19" i="4"/>
  <c r="D19" i="4"/>
  <c r="C19" i="4"/>
  <c r="O18" i="4"/>
  <c r="N18" i="4"/>
  <c r="M18" i="4"/>
  <c r="L18" i="4"/>
  <c r="K18" i="4"/>
  <c r="J18" i="4"/>
  <c r="I18" i="4"/>
  <c r="H18" i="4"/>
  <c r="G18" i="4"/>
  <c r="F18" i="4"/>
  <c r="E18" i="4"/>
  <c r="D18" i="4"/>
  <c r="C18" i="4"/>
  <c r="O17" i="4"/>
  <c r="N17" i="4"/>
  <c r="M17" i="4"/>
  <c r="L17" i="4"/>
  <c r="K17" i="4"/>
  <c r="J17" i="4"/>
  <c r="I17" i="4"/>
  <c r="H17" i="4"/>
  <c r="G17" i="4"/>
  <c r="F17" i="4"/>
  <c r="E17" i="4"/>
  <c r="D17" i="4"/>
  <c r="C17" i="4"/>
  <c r="O16" i="4"/>
  <c r="N16" i="4"/>
  <c r="M16" i="4"/>
  <c r="L16" i="4"/>
  <c r="K16" i="4"/>
  <c r="J16" i="4"/>
  <c r="I16" i="4"/>
  <c r="H16" i="4"/>
  <c r="G16" i="4"/>
  <c r="F16" i="4"/>
  <c r="E16" i="4"/>
  <c r="D16" i="4"/>
  <c r="C16" i="4"/>
  <c r="O15" i="4"/>
  <c r="N15" i="4"/>
  <c r="M15" i="4"/>
  <c r="L15" i="4"/>
  <c r="K15" i="4"/>
  <c r="J15" i="4"/>
  <c r="I15" i="4"/>
  <c r="H15" i="4"/>
  <c r="G15" i="4"/>
  <c r="F15" i="4"/>
  <c r="E15" i="4"/>
  <c r="D15" i="4"/>
  <c r="C15" i="4"/>
  <c r="O14" i="4"/>
  <c r="N14" i="4"/>
  <c r="M14" i="4"/>
  <c r="L14" i="4"/>
  <c r="K14" i="4"/>
  <c r="J14" i="4"/>
  <c r="I14" i="4"/>
  <c r="H14" i="4"/>
  <c r="G14" i="4"/>
  <c r="F14" i="4"/>
  <c r="E14" i="4"/>
  <c r="D14" i="4"/>
  <c r="C14" i="4"/>
  <c r="O13" i="4"/>
  <c r="N13" i="4"/>
  <c r="M13" i="4"/>
  <c r="L13" i="4"/>
  <c r="K13" i="4"/>
  <c r="J13" i="4"/>
  <c r="I13" i="4"/>
  <c r="H13" i="4"/>
  <c r="G13" i="4"/>
  <c r="F13" i="4"/>
  <c r="E13" i="4"/>
  <c r="D13" i="4"/>
  <c r="C13" i="4"/>
  <c r="O12" i="4"/>
  <c r="N12" i="4"/>
  <c r="M12" i="4"/>
  <c r="L12" i="4"/>
  <c r="K12" i="4"/>
  <c r="J12" i="4"/>
  <c r="I12" i="4"/>
  <c r="H12" i="4"/>
  <c r="G12" i="4"/>
  <c r="F12" i="4"/>
  <c r="E12" i="4"/>
  <c r="D12" i="4"/>
  <c r="C12" i="4"/>
  <c r="O11" i="4"/>
  <c r="N11" i="4"/>
  <c r="M11" i="4"/>
  <c r="L11" i="4"/>
  <c r="K11" i="4"/>
  <c r="J11" i="4"/>
  <c r="I11" i="4"/>
  <c r="H11" i="4"/>
  <c r="G11" i="4"/>
  <c r="F11" i="4"/>
  <c r="E11" i="4"/>
  <c r="D11" i="4"/>
  <c r="C11" i="4"/>
  <c r="O10" i="4"/>
  <c r="N10" i="4"/>
  <c r="M10" i="4"/>
  <c r="L10" i="4"/>
  <c r="K10" i="4"/>
  <c r="J10" i="4"/>
  <c r="I10" i="4"/>
  <c r="H10" i="4"/>
  <c r="G10" i="4"/>
  <c r="F10" i="4"/>
  <c r="E10" i="4"/>
  <c r="D10" i="4"/>
  <c r="C10" i="4"/>
  <c r="C6" i="4"/>
  <c r="B16" i="3"/>
  <c r="N8" i="3"/>
  <c r="B2" i="3"/>
  <c r="D30" i="5" l="1"/>
  <c r="D31" i="5" s="1"/>
  <c r="D26" i="5"/>
  <c r="D14" i="5"/>
  <c r="D13" i="6"/>
  <c r="D8" i="5"/>
  <c r="D10" i="5"/>
  <c r="D70" i="5" s="1"/>
  <c r="D32" i="5" l="1"/>
  <c r="D18" i="6"/>
  <c r="D36" i="5"/>
  <c r="D72" i="5" s="1"/>
  <c r="D17" i="6"/>
  <c r="D16" i="5"/>
  <c r="D17" i="5" s="1"/>
  <c r="D43" i="5"/>
  <c r="D44" i="5"/>
  <c r="D45" i="5"/>
  <c r="D46" i="5"/>
  <c r="F46" i="5"/>
  <c r="D47" i="5"/>
  <c r="D48" i="5"/>
  <c r="D49" i="5"/>
  <c r="D50" i="5"/>
  <c r="D51" i="5"/>
  <c r="D52" i="5"/>
  <c r="D53" i="5"/>
  <c r="D54" i="5"/>
  <c r="D55" i="5"/>
  <c r="D56" i="5"/>
  <c r="D57" i="5"/>
  <c r="D58" i="5"/>
  <c r="D59" i="5"/>
  <c r="D60" i="5"/>
  <c r="D61" i="5"/>
  <c r="D62" i="5"/>
  <c r="D63" i="5"/>
  <c r="D64" i="5"/>
  <c r="D65" i="5"/>
  <c r="D66" i="5"/>
  <c r="D67" i="5"/>
  <c r="D14" i="6"/>
  <c r="C5" i="4"/>
  <c r="B3" i="3"/>
  <c r="D24" i="5"/>
  <c r="D15" i="5"/>
  <c r="D39" i="5" s="1"/>
  <c r="D35" i="5" l="1"/>
  <c r="D33" i="5"/>
  <c r="D34" i="5" s="1"/>
  <c r="K8" i="3" s="1"/>
  <c r="D18" i="5"/>
  <c r="B8" i="3" s="1"/>
  <c r="D19" i="5"/>
  <c r="D20" i="5"/>
  <c r="D21" i="6"/>
  <c r="E8" i="3"/>
  <c r="D25" i="5"/>
  <c r="H8" i="3" s="1"/>
  <c r="D71" i="5"/>
  <c r="D5" i="6"/>
  <c r="E5" i="6" l="1"/>
  <c r="E13" i="1"/>
  <c r="N9" i="3"/>
  <c r="E9" i="3"/>
  <c r="B12" i="3"/>
  <c r="B9" i="3"/>
  <c r="B14" i="3"/>
  <c r="C5" i="3"/>
  <c r="E5" i="3" s="1"/>
  <c r="H9" i="3"/>
  <c r="B15" i="3"/>
  <c r="D13" i="1"/>
  <c r="K9" i="3"/>
  <c r="B1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Ivanka Menken</author>
  </authors>
  <commentList>
    <comment ref="B9" authorId="0" shapeId="0" xr:uid="{00000000-0006-0000-0100-000001000000}">
      <text>
        <r>
          <rPr>
            <sz val="10"/>
            <color rgb="FF1B2230"/>
            <rFont val="Aptos"/>
            <family val="2"/>
          </rPr>
          <t>Use the price you quote, excluding GST, for the unit you sell: an hour, a job, a product or a client per month.</t>
        </r>
      </text>
    </comment>
    <comment ref="B11" authorId="0" shapeId="0" xr:uid="{00000000-0006-0000-0100-000002000000}">
      <text>
        <r>
          <rPr>
            <sz val="10"/>
            <color rgb="FF1B2230"/>
            <rFont val="Aptos"/>
            <family val="2"/>
          </rPr>
          <t>Variable cost: the cost that goes away if you do not sell that unit. Rent and your own salary are not variable costs.</t>
        </r>
      </text>
    </comment>
    <comment ref="B12" authorId="0" shapeId="0" xr:uid="{00000000-0006-0000-0100-000003000000}">
      <text>
        <r>
          <rPr>
            <sz val="10"/>
            <color rgb="FF1B2230"/>
            <rFont val="Aptos"/>
            <family val="2"/>
          </rPr>
          <t>Gross margin: price less the direct cost of delivering the work, as a share of price. 40% means 40 cents of every dollar is left after direct costs.</t>
        </r>
      </text>
    </comment>
    <comment ref="B18" authorId="0" shapeId="0" xr:uid="{00000000-0006-0000-0100-000004000000}">
      <text>
        <r>
          <rPr>
            <sz val="10"/>
            <color rgb="FF1B2230"/>
            <rFont val="Aptos"/>
            <family val="2"/>
          </rPr>
          <t>Your own estimate. The calculator does not predict it; it shows what your estimate does to gross profit.</t>
        </r>
      </text>
    </comment>
  </commentList>
</comments>
</file>

<file path=xl/sharedStrings.xml><?xml version="1.0" encoding="utf-8"?>
<sst xmlns="http://schemas.openxmlformats.org/spreadsheetml/2006/main" count="219" uniqueCount="207">
  <si>
    <t>FREE TEMPLATE FOR FOUNDERS</t>
  </si>
  <si>
    <t>Price Increase Calculator</t>
  </si>
  <si>
    <t>How many clients you could lose after a price rise before gross profit falls, the discount in reverse, and a sensitivity table.</t>
  </si>
  <si>
    <t>Version</t>
  </si>
  <si>
    <t>2.0, 21 October 2026</t>
  </si>
  <si>
    <t>Author</t>
  </si>
  <si>
    <t>Ivanka Menken, Strategic Mentor, https://ivankamenken.com</t>
  </si>
  <si>
    <t>Template page</t>
  </si>
  <si>
    <t>https://ivankamenken.com/templates/price-increase-calculator</t>
  </si>
  <si>
    <t>Works in</t>
  </si>
  <si>
    <t>Microsoft Excel, Google Sheets and Apple Numbers. No macros, no links to other files, nothing locked.</t>
  </si>
  <si>
    <t>WORKBOOK STATUS</t>
  </si>
  <si>
    <t>HOW TO USE IT IN FIVE STEPS</t>
  </si>
  <si>
    <t>Read this Cover, then clear the example figures (the list is below) or type straight over them.</t>
  </si>
  <si>
    <t>On the Inputs sheet, type your current price, pick Unit cost or Gross margin % and fill that one in, then your current volume.</t>
  </si>
  <si>
    <t>Type the price change you are weighing, a discount to compare, your own estimate of volume lost and your target gross margin.</t>
  </si>
  <si>
    <t>Open the Checks sheet. Every row should read Pass; a Fix tells you what to change.</t>
  </si>
  <si>
    <t>Read the Dashboard verdict, then the Sensitivity sheet across your margin row. Ask of every move: does this raise margin, or only revenue?</t>
  </si>
  <si>
    <t>SHEET MAP (CLICK A NAME TO GO THERE)</t>
  </si>
  <si>
    <t>Sheet</t>
  </si>
  <si>
    <t>Role</t>
  </si>
  <si>
    <t>What it does</t>
  </si>
  <si>
    <t>Cover</t>
  </si>
  <si>
    <t>Start here</t>
  </si>
  <si>
    <t>This page: how to use the workbook, the sheet map and the overall status.</t>
  </si>
  <si>
    <t>Inputs</t>
  </si>
  <si>
    <t>Your figures</t>
  </si>
  <si>
    <t>Your figures: price, unit cost or gross margin, volume, the proposed rise and discount, your loss estimate and margin target.</t>
  </si>
  <si>
    <t>Dashboard</t>
  </si>
  <si>
    <t>Results</t>
  </si>
  <si>
    <t>Results: what the rise frees up, what the discount demands, gross profit at your loss estimate, the curve and a plain-English verdict.</t>
  </si>
  <si>
    <t>Sensitivity</t>
  </si>
  <si>
    <t>Workings</t>
  </si>
  <si>
    <t>Two-way table: the volume change needed to keep gross profit level, for price changes from -30% to +30% across gross margins from 20% to 70%.</t>
  </si>
  <si>
    <t>Calculations</t>
  </si>
  <si>
    <t>Workings: today, after the rise, at your loss estimate, after the discount, and the curve behind the chart.</t>
  </si>
  <si>
    <t>Checks</t>
  </si>
  <si>
    <t>Input completeness and sanity checks, each with a Pass or Fix flag, rolled up to the cover.</t>
  </si>
  <si>
    <t>COLOUR LEGEND</t>
  </si>
  <si>
    <t>Input</t>
  </si>
  <si>
    <t>Gold cells are yours to type in. Each one has a note on what to enter and rejects entries that make no sense.</t>
  </si>
  <si>
    <t>Calculated</t>
  </si>
  <si>
    <t>Grey cells are formulas. Click one to read how it is worked out. Nothing is locked, but there is no need to type here.</t>
  </si>
  <si>
    <t>Check: Pass</t>
  </si>
  <si>
    <t>Green means a check passes, or a result is on target.</t>
  </si>
  <si>
    <t>Check: Fix</t>
  </si>
  <si>
    <t>Red means a check needs a fix, or a result needs action. Amber means watch it.</t>
  </si>
  <si>
    <t>CLEAR THE EXAMPLE FIGURES</t>
  </si>
  <si>
    <t>Select each range below on the Inputs sheet and press Delete. The Dashboard shows zeros and the Checks sheet lists what is missing until your own figures are in.</t>
  </si>
  <si>
    <t>Inputs!D7</t>
  </si>
  <si>
    <t>Business name (optional).</t>
  </si>
  <si>
    <t>Inputs!D9</t>
  </si>
  <si>
    <t>Current price per unit.</t>
  </si>
  <si>
    <t>Inputs!D11:D13</t>
  </si>
  <si>
    <t>Unit cost, gross margin and current volume. Fill the one that matches your choice in D10.</t>
  </si>
  <si>
    <t>Inputs!D16:D19</t>
  </si>
  <si>
    <t>Proposed price change, discount, your loss estimate and your target margin.</t>
  </si>
  <si>
    <t>Keep the unit name and the cost method unless they differ for you; they are settings rather than example figures.</t>
  </si>
  <si>
    <t>SCOPE</t>
  </si>
  <si>
    <t>General information, not financial, tax or accounting advice. The workbook is arithmetic on the figures you type in. Check figures with your accountant or bookkeeper before you act on them, and check the current rules with your accountant.</t>
  </si>
  <si>
    <t>Free to use and share inside your business. Please keep this credit: Ivanka Menken, Strategic Mentor, https://ivankamenken.com. Not for resale.</t>
  </si>
  <si>
    <t>Type your own figures in the gold cells. Every other sheet works from this one.</t>
  </si>
  <si>
    <t>EXAMPLE FIGURES are shown in the gold cells. Replace them with your own, or clear them first: the list is on the Cover.</t>
  </si>
  <si>
    <t>WHAT YOU SELL TODAY</t>
  </si>
  <si>
    <t>Business name (optional)</t>
  </si>
  <si>
    <t>Optional. It shows in the Dashboard title.</t>
  </si>
  <si>
    <t>What you count (plural)</t>
  </si>
  <si>
    <t>clients</t>
  </si>
  <si>
    <t>Clients, jobs, hours or units. The Dashboard sentences use it.</t>
  </si>
  <si>
    <t>Current price per unit</t>
  </si>
  <si>
    <t>Excluding GST. Use the unit you quote in.</t>
  </si>
  <si>
    <t>I know my</t>
  </si>
  <si>
    <t>Unit cost</t>
  </si>
  <si>
    <t>Unit cost or Gross margin %. The workbook uses the one you pick.</t>
  </si>
  <si>
    <t>Variable cost per unit (used if you picked Unit cost)</t>
  </si>
  <si>
    <t>The cost that goes away if you do not sell that unit.</t>
  </si>
  <si>
    <t>Gross margin % (used if you picked Gross margin %)</t>
  </si>
  <si>
    <t>Price less direct cost, as a share of price.</t>
  </si>
  <si>
    <t>Current volume (units or clients in the period)</t>
  </si>
  <si>
    <t>Use the same period for price, cost and volume.</t>
  </si>
  <si>
    <t>THE MOVES YOU ARE WEIGHING</t>
  </si>
  <si>
    <t>Proposed price change</t>
  </si>
  <si>
    <t>Type 10% for a ten per cent rise.</t>
  </si>
  <si>
    <t>Proposed discount (the reverse)</t>
  </si>
  <si>
    <t>Type 10% for a ten per cent discount.</t>
  </si>
  <si>
    <t>Your estimate of volume lost after the rise</t>
  </si>
  <si>
    <t>Your own estimate. The Dashboard shows what it does to gross profit.</t>
  </si>
  <si>
    <t>Target gross margin</t>
  </si>
  <si>
    <t>Green when the margin after the rise reaches it.</t>
  </si>
  <si>
    <t>The question for every move: does this raise margin, or only revenue? https://ivankamenken.com/margin-first-scaling-test</t>
  </si>
  <si>
    <t>How to raise prices without losing the clients you want: https://ivankamenken.com/answers/how-to-raise-prices-without-losing-clients</t>
  </si>
  <si>
    <t>STATUS</t>
  </si>
  <si>
    <t>YOU COULD LOSE</t>
  </si>
  <si>
    <t>VOLUME NEEDED AFTER THE CHANGE</t>
  </si>
  <si>
    <t>GROSS PROFIT AT YOUR ESTIMATE</t>
  </si>
  <si>
    <t>A DISCOUNT NEEDS</t>
  </si>
  <si>
    <t>NEW PRICE</t>
  </si>
  <si>
    <t>THE VERDICT IN PLAIN ENGLISH</t>
  </si>
  <si>
    <t>VOLUME CHANGE NEEDED TO KEEP GROSS PROFIT LEVEL, AT YOUR MARGIN</t>
  </si>
  <si>
    <t>GROSS PROFIT FOR THE PERIOD</t>
  </si>
  <si>
    <t>General information, not financial, tax or accounting advice. The calculator is arithmetic; the decision stays with you and your accountant. From Ivanka Menken, Strategic Mentor, https://ivankamenken.com</t>
  </si>
  <si>
    <t>The volume change needed to keep gross profit level. Negative: volume you could lose. Positive: extra volume you would need.</t>
  </si>
  <si>
    <t>Your gross margin</t>
  </si>
  <si>
    <t>Each cell: minus the price change, divided by gross margin plus the price change. The gold rules mark the row nearest your margin.</t>
  </si>
  <si>
    <t>Your price change</t>
  </si>
  <si>
    <t>Margin gone: the cut is bigger than the margin, so every sale loses money.</t>
  </si>
  <si>
    <t>PRICE CHANGE (ACROSS) BY GROSS MARGIN TODAY (DOWN)</t>
  </si>
  <si>
    <t>Gross margin</t>
  </si>
  <si>
    <t>Green: volume you could lose and still keep gross profit level. Red: extra volume a cut needs. The 0% column is no change, so no volume change.</t>
  </si>
  <si>
    <t>Read across a row: a rise frees up less volume than the same discount demands. That is why Ivanka Menken ranks moves by margin, not revenue.</t>
  </si>
  <si>
    <t>Break-even volume: new volume needed equals current gross profit divided by the new margin per unit.</t>
  </si>
  <si>
    <t>TODAY</t>
  </si>
  <si>
    <t>Cost per unit used</t>
  </si>
  <si>
    <t>The cost you typed, or price times one minus the margin.</t>
  </si>
  <si>
    <t>Margin per unit</t>
  </si>
  <si>
    <t>Price less cost per unit.</t>
  </si>
  <si>
    <t>Margin per unit as a share of price.</t>
  </si>
  <si>
    <t>Revenue for the period</t>
  </si>
  <si>
    <t>Price times volume.</t>
  </si>
  <si>
    <t>Gross profit for the period</t>
  </si>
  <si>
    <t>Volume times margin per unit. The figure to hold.</t>
  </si>
  <si>
    <t>AFTER THE PRICE CHANGE</t>
  </si>
  <si>
    <t>New price</t>
  </si>
  <si>
    <t>Price times one plus the change.</t>
  </si>
  <si>
    <t>New margin per unit</t>
  </si>
  <si>
    <t>New price less cost per unit.</t>
  </si>
  <si>
    <t>New gross margin</t>
  </si>
  <si>
    <t>New margin per unit as a share of the new price.</t>
  </si>
  <si>
    <t>Volume needed to keep the same gross profit</t>
  </si>
  <si>
    <t>Break-even volume: gross profit today divided by the new margin per unit.</t>
  </si>
  <si>
    <t>Volume you could lose before gross profit falls</t>
  </si>
  <si>
    <t>Current volume less the volume needed.</t>
  </si>
  <si>
    <t>As a share of current volume</t>
  </si>
  <si>
    <t>The break-even loss.</t>
  </si>
  <si>
    <t>Whole units or clients you could lose</t>
  </si>
  <si>
    <t>Rounded down, because half a client does not leave.</t>
  </si>
  <si>
    <t>Revenue at the break-even volume</t>
  </si>
  <si>
    <t>Less revenue, same gross profit: that is margin, not revenue.</t>
  </si>
  <si>
    <t>AT YOUR LOSS ESTIMATE</t>
  </si>
  <si>
    <t>Volume after your estimated loss</t>
  </si>
  <si>
    <t>Current volume less your estimate.</t>
  </si>
  <si>
    <t>Gross profit after the change</t>
  </si>
  <si>
    <t>Volume after the loss times the new margin per unit.</t>
  </si>
  <si>
    <t>Change in gross profit</t>
  </si>
  <si>
    <t>Against gross profit today.</t>
  </si>
  <si>
    <t>Revenue after the change</t>
  </si>
  <si>
    <t>Volume after the loss times the new price.</t>
  </si>
  <si>
    <t>THE REVERSE: A DISCOUNT</t>
  </si>
  <si>
    <t>Discounted price</t>
  </si>
  <si>
    <t>Price times one minus the discount.</t>
  </si>
  <si>
    <t>Margin per unit after the discount</t>
  </si>
  <si>
    <t>Discounted price less cost per unit.</t>
  </si>
  <si>
    <t>Gross margin after the discount</t>
  </si>
  <si>
    <t>Margin as a share of the discounted price.</t>
  </si>
  <si>
    <t>Gross profit today divided by the new margin. 0: the discount wipes out the margin.</t>
  </si>
  <si>
    <t>Extra volume you would need</t>
  </si>
  <si>
    <t>Volume needed less current volume.</t>
  </si>
  <si>
    <t>More work for the same gross profit.</t>
  </si>
  <si>
    <t>Revenue at that volume</t>
  </si>
  <si>
    <t>More revenue, same gross profit, more work: that is revenue, not margin.</t>
  </si>
  <si>
    <t>Gross profit if volume does not move</t>
  </si>
  <si>
    <t>What the discount costs if no extra work arrives.</t>
  </si>
  <si>
    <t>Margin after the change against your target</t>
  </si>
  <si>
    <t>Green at target, amber when margin rises but falls short, red when it falls.</t>
  </si>
  <si>
    <t>CURVE AT YOUR MARGIN (CHART SERIES; #N/A WHERE THE MARGIN IS GONE)</t>
  </si>
  <si>
    <t>Price change</t>
  </si>
  <si>
    <t>Volume change needed</t>
  </si>
  <si>
    <t>Your proposed change</t>
  </si>
  <si>
    <t>CHART SERIES: GROSS PROFIT FOR THE PERIOD</t>
  </si>
  <si>
    <t>Today</t>
  </si>
  <si>
    <t>After the change, at your loss estimate</t>
  </si>
  <si>
    <t>After the discount, volume unchanged</t>
  </si>
  <si>
    <t>Every check should read Pass before you rely on the Dashboard. A Fix tells you what to change.</t>
  </si>
  <si>
    <t>Checks that need a fix</t>
  </si>
  <si>
    <t>Checks in total</t>
  </si>
  <si>
    <t>#</t>
  </si>
  <si>
    <t>Check</t>
  </si>
  <si>
    <t>Result</t>
  </si>
  <si>
    <t>If it says Fix</t>
  </si>
  <si>
    <t>Current price is above zero</t>
  </si>
  <si>
    <t>Type your current price per unit in Inputs D9.</t>
  </si>
  <si>
    <t>What you count is named</t>
  </si>
  <si>
    <t>Type clients, jobs, hours or units in Inputs D8 so the Dashboard sentences read properly.</t>
  </si>
  <si>
    <t>Cost method is Unit cost or Gross margin %</t>
  </si>
  <si>
    <t>Pick one from the list in Inputs D10.</t>
  </si>
  <si>
    <t>Unit cost is entered when Unit cost is picked</t>
  </si>
  <si>
    <t>Type the variable cost per unit in Inputs D11, or switch Inputs D10 to Gross margin %.</t>
  </si>
  <si>
    <t>Gross margin is entered when Gross margin % is picked</t>
  </si>
  <si>
    <t>Type your gross margin in Inputs D12, or switch Inputs D10 to Unit cost.</t>
  </si>
  <si>
    <t>Cost is below price (there is a margin to work with)</t>
  </si>
  <si>
    <t>Unit cost is at or above price: check Inputs D9 and D11. A margin of 100% or more is not possible either.</t>
  </si>
  <si>
    <t>Gross margin is between 0% and 100%</t>
  </si>
  <si>
    <t>Margin over 100% or below 0% means price or cost is mistyped.</t>
  </si>
  <si>
    <t>Current volume is above zero</t>
  </si>
  <si>
    <t>Type units or clients in the period in Inputs D13.</t>
  </si>
  <si>
    <t>Price change is between -90% and +200%</t>
  </si>
  <si>
    <t>Type the change as a percentage in Inputs D16, for example 10%.</t>
  </si>
  <si>
    <t>The price change leaves a margin per unit</t>
  </si>
  <si>
    <t>The cut in Inputs D16 is bigger than your margin: every sale would lose money.</t>
  </si>
  <si>
    <t>The discount is smaller than your gross margin</t>
  </si>
  <si>
    <t>The discount in Inputs D17 wipes out the margin. Test a smaller one.</t>
  </si>
  <si>
    <t>Loss estimate is between 0% and 100%</t>
  </si>
  <si>
    <t>Type your estimate in Inputs D18; 0% if you expect none.</t>
  </si>
  <si>
    <t>Target gross margin is set between 0% and 100%</t>
  </si>
  <si>
    <t>Set your target in Inputs D19.</t>
  </si>
  <si>
    <t>The arithmetic holds: break-even volume times new margin equals gross profit today</t>
  </si>
  <si>
    <t>If this says Fix, a formula has been typed over: download a fresh 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</si>
</sst>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Red]\-&quot;$&quot;#,##0;&quot;$&quot;0"/>
    <numFmt numFmtId="165" formatCode="0.0%;[Red]\-0.0%;0.0%"/>
    <numFmt numFmtId="166" formatCode="\+0.0%;\-0.0%;0.0%"/>
    <numFmt numFmtId="167" formatCode="&quot;$&quot;#,##0.00;[Red]\-&quot;$&quot;#,##0.00;&quot;$&quot;0.00"/>
    <numFmt numFmtId="168" formatCode="#,##0.0;[Red]\-#,##0.0;0.0"/>
    <numFmt numFmtId="169" formatCode="#,##0;[Red]\-#,##0;0"/>
    <numFmt numFmtId="170" formatCode="0.0%"/>
    <numFmt numFmtId="171" formatCode="#,##0.0"/>
    <numFmt numFmtId="172" formatCode="\+&quot;$&quot;#,##0;[Red]\-&quot;$&quot;#,##0;&quot;$&quot;0"/>
  </numFmts>
  <fonts count="25" x14ac:knownFonts="1">
    <font>
      <sz val="10"/>
      <color rgb="FF1B2230"/>
      <name val="Aptos"/>
      <family val="2"/>
    </font>
    <font>
      <b/>
      <sz val="20"/>
      <color rgb="FF14213D"/>
      <name val="Aptos"/>
    </font>
    <font>
      <sz val="10"/>
      <color rgb="FF5F6673"/>
      <name val="Aptos"/>
    </font>
    <font>
      <i/>
      <sz val="9"/>
      <color rgb="FF7A5D17"/>
      <name val="Aptos"/>
    </font>
    <font>
      <b/>
      <sz val="10"/>
      <color rgb="FFFFFFFF"/>
      <name val="Aptos"/>
    </font>
    <font>
      <sz val="10"/>
      <color rgb="FF1B2230"/>
      <name val="Aptos"/>
    </font>
    <font>
      <sz val="10"/>
      <color rgb="FF14213D"/>
      <name val="Aptos"/>
    </font>
    <font>
      <sz val="9"/>
      <color rgb="FF5F6673"/>
      <name val="Aptos"/>
    </font>
    <font>
      <i/>
      <sz val="9"/>
      <color rgb="FF5F6673"/>
      <name val="Aptos"/>
    </font>
    <font>
      <b/>
      <sz val="10"/>
      <color rgb="FF1B2230"/>
      <name val="Aptos"/>
    </font>
    <font>
      <b/>
      <sz val="9"/>
      <color rgb="FF33415C"/>
      <name val="Aptos"/>
    </font>
    <font>
      <sz val="9"/>
      <color rgb="FF1B2230"/>
      <name val="Aptos"/>
    </font>
    <font>
      <b/>
      <sz val="9"/>
      <color rgb="FF5F6673"/>
      <name val="Aptos"/>
    </font>
    <font>
      <b/>
      <sz val="11"/>
      <color rgb="FF1B2230"/>
      <name val="Aptos"/>
    </font>
    <font>
      <b/>
      <sz val="8"/>
      <color rgb="FF5F6673"/>
      <name val="Aptos"/>
    </font>
    <font>
      <b/>
      <sz val="22"/>
      <color rgb="FF14213D"/>
      <name val="Aptos"/>
    </font>
    <font>
      <i/>
      <sz val="10"/>
      <color rgb="FF5F6673"/>
      <name val="Aptos"/>
    </font>
    <font>
      <b/>
      <sz val="9"/>
      <color rgb="FFC9A84C"/>
      <name val="Aptos"/>
    </font>
    <font>
      <b/>
      <sz val="26"/>
      <color rgb="FFFFFFFF"/>
      <name val="Aptos"/>
    </font>
    <font>
      <sz val="11"/>
      <color rgb="FFDCE1EA"/>
      <name val="Aptos"/>
    </font>
    <font>
      <b/>
      <sz val="14"/>
      <color rgb="FF7A5D17"/>
      <name val="Aptos"/>
    </font>
    <font>
      <b/>
      <u/>
      <sz val="10"/>
      <color rgb="FF14213D"/>
      <name val="Aptos"/>
    </font>
    <font>
      <b/>
      <sz val="10"/>
      <color rgb="FF14213D"/>
      <name val="Aptos"/>
    </font>
    <font>
      <b/>
      <sz val="10"/>
      <color rgb="FF1E6B3C"/>
      <name val="Aptos"/>
    </font>
    <font>
      <b/>
      <sz val="10"/>
      <color rgb="FF9B1C1C"/>
      <name val="Aptos"/>
    </font>
  </fonts>
  <fills count="12">
    <fill>
      <patternFill patternType="none"/>
    </fill>
    <fill>
      <patternFill patternType="gray125"/>
    </fill>
    <fill>
      <patternFill patternType="solid">
        <fgColor rgb="FF14213D"/>
      </patternFill>
    </fill>
    <fill>
      <patternFill patternType="solid">
        <fgColor rgb="FFFDF4DF"/>
      </patternFill>
    </fill>
    <fill>
      <patternFill patternType="solid">
        <fgColor rgb="FFF2F3F5"/>
      </patternFill>
    </fill>
    <fill>
      <patternFill patternType="solid">
        <fgColor rgb="FFF7F7F4"/>
      </patternFill>
    </fill>
    <fill>
      <patternFill patternType="solid">
        <fgColor rgb="FFC9A84C"/>
      </patternFill>
    </fill>
    <fill>
      <patternFill patternType="solid">
        <fgColor rgb="FF8A919C"/>
      </patternFill>
    </fill>
    <fill>
      <patternFill patternType="solid">
        <fgColor rgb="FF2F4A7A"/>
      </patternFill>
    </fill>
    <fill>
      <patternFill patternType="solid">
        <fgColor rgb="FF2E7D4F"/>
      </patternFill>
    </fill>
    <fill>
      <patternFill patternType="solid">
        <fgColor rgb="FFE2F0E6"/>
      </patternFill>
    </fill>
    <fill>
      <patternFill patternType="solid">
        <fgColor rgb="FFF9E0E0"/>
      </patternFill>
    </fill>
  </fills>
  <borders count="10">
    <border>
      <left/>
      <right/>
      <top/>
      <bottom/>
      <diagonal/>
    </border>
    <border>
      <left/>
      <right/>
      <top/>
      <bottom style="medium">
        <color rgb="FFC9A84C"/>
      </bottom>
      <diagonal/>
    </border>
    <border>
      <left style="thin">
        <color rgb="FFC9A84C"/>
      </left>
      <right style="thin">
        <color rgb="FFC9A84C"/>
      </right>
      <top style="thin">
        <color rgb="FFC9A84C"/>
      </top>
      <bottom style="thin">
        <color rgb="FFC9A84C"/>
      </bottom>
      <diagonal/>
    </border>
    <border>
      <left/>
      <right/>
      <top/>
      <bottom style="thin">
        <color rgb="FFD5D9E0"/>
      </bottom>
      <diagonal/>
    </border>
    <border>
      <left/>
      <right/>
      <top/>
      <bottom style="thin">
        <color rgb="FF33415C"/>
      </bottom>
      <diagonal/>
    </border>
    <border>
      <left/>
      <right style="thin">
        <color rgb="FF33415C"/>
      </right>
      <top/>
      <bottom/>
      <diagonal/>
    </border>
    <border>
      <left/>
      <right/>
      <top style="thick">
        <color rgb="FFC9A84C"/>
      </top>
      <bottom/>
      <diagonal/>
    </border>
    <border>
      <left/>
      <right/>
      <top style="thick">
        <color rgb="FFC9A84C"/>
      </top>
      <bottom/>
      <diagonal/>
    </border>
    <border>
      <left/>
      <right/>
      <top/>
      <bottom/>
      <diagonal/>
    </border>
    <border>
      <left style="thin">
        <color rgb="FFD5D9E0"/>
      </left>
      <right style="thin">
        <color rgb="FFD5D9E0"/>
      </right>
      <top style="thin">
        <color rgb="FFD5D9E0"/>
      </top>
      <bottom style="thin">
        <color rgb="FFD5D9E0"/>
      </bottom>
      <diagonal/>
    </border>
  </borders>
  <cellStyleXfs count="1">
    <xf numFmtId="0" fontId="0" fillId="0" borderId="0"/>
  </cellStyleXfs>
  <cellXfs count="91">
    <xf numFmtId="0" fontId="0" fillId="0" borderId="0" xfId="0"/>
    <xf numFmtId="0" fontId="0" fillId="2" borderId="0" xfId="0" applyFill="1"/>
    <xf numFmtId="0" fontId="17" fillId="2" borderId="0" xfId="0" applyFont="1" applyFill="1" applyAlignment="1">
      <alignment vertical="center"/>
    </xf>
    <xf numFmtId="0" fontId="18" fillId="2" borderId="0" xfId="0" applyFont="1" applyFill="1" applyAlignment="1">
      <alignment vertical="center"/>
    </xf>
    <xf numFmtId="0" fontId="19" fillId="2" borderId="0" xfId="0" applyFont="1" applyFill="1" applyAlignment="1">
      <alignment vertical="center"/>
    </xf>
    <xf numFmtId="0" fontId="0" fillId="0" borderId="6" xfId="0" applyBorder="1"/>
    <xf numFmtId="0" fontId="12" fillId="0" borderId="0" xfId="0" applyFont="1" applyAlignment="1">
      <alignment vertical="center"/>
    </xf>
    <xf numFmtId="0" fontId="5" fillId="0" borderId="0" xfId="0" applyFont="1" applyAlignment="1">
      <alignment vertical="center"/>
    </xf>
    <xf numFmtId="0" fontId="9" fillId="4" borderId="0" xfId="0" applyFont="1" applyFill="1" applyAlignment="1">
      <alignment horizontal="center" vertical="center"/>
    </xf>
    <xf numFmtId="0" fontId="4" fillId="2" borderId="0" xfId="0" applyFont="1" applyFill="1" applyAlignment="1">
      <alignment vertical="center" indent="1"/>
    </xf>
    <xf numFmtId="0" fontId="20" fillId="0" borderId="3" xfId="0" applyFont="1" applyBorder="1" applyAlignment="1">
      <alignment horizontal="center" vertical="center"/>
    </xf>
    <xf numFmtId="0" fontId="5" fillId="0" borderId="3" xfId="0" applyFont="1" applyBorder="1" applyAlignment="1">
      <alignment vertical="center" wrapText="1"/>
    </xf>
    <xf numFmtId="0" fontId="0" fillId="0" borderId="4" xfId="0" applyBorder="1"/>
    <xf numFmtId="0" fontId="10" fillId="0" borderId="4" xfId="0" applyFont="1" applyBorder="1" applyAlignment="1">
      <alignment horizontal="left" vertical="center" wrapText="1"/>
    </xf>
    <xf numFmtId="0" fontId="5" fillId="2" borderId="0" xfId="0" applyFont="1" applyFill="1" applyAlignment="1">
      <alignment vertical="center"/>
    </xf>
    <xf numFmtId="0" fontId="21" fillId="0" borderId="3" xfId="0" applyFont="1" applyBorder="1" applyAlignment="1">
      <alignment vertical="center" indent="1"/>
    </xf>
    <xf numFmtId="0" fontId="7" fillId="0" borderId="3" xfId="0" applyFont="1" applyBorder="1" applyAlignment="1">
      <alignment vertical="center"/>
    </xf>
    <xf numFmtId="0" fontId="5" fillId="6" borderId="0" xfId="0" applyFont="1" applyFill="1" applyAlignment="1">
      <alignment vertical="center"/>
    </xf>
    <xf numFmtId="0" fontId="5" fillId="8" borderId="0" xfId="0" applyFont="1" applyFill="1" applyAlignment="1">
      <alignment vertical="center"/>
    </xf>
    <xf numFmtId="0" fontId="5" fillId="7" borderId="0" xfId="0" applyFont="1" applyFill="1" applyAlignment="1">
      <alignment vertical="center"/>
    </xf>
    <xf numFmtId="0" fontId="5" fillId="9" borderId="0" xfId="0" applyFont="1" applyFill="1" applyAlignment="1">
      <alignment vertical="center"/>
    </xf>
    <xf numFmtId="0" fontId="22" fillId="3" borderId="2" xfId="0" applyFont="1" applyFill="1" applyBorder="1" applyAlignment="1">
      <alignment horizontal="center" vertical="center"/>
    </xf>
    <xf numFmtId="0" fontId="9" fillId="4" borderId="9" xfId="0" applyFont="1" applyFill="1" applyBorder="1" applyAlignment="1">
      <alignment horizontal="center" vertical="center"/>
    </xf>
    <xf numFmtId="0" fontId="23" fillId="10" borderId="9" xfId="0" applyFont="1" applyFill="1" applyBorder="1" applyAlignment="1">
      <alignment horizontal="center" vertical="center"/>
    </xf>
    <xf numFmtId="0" fontId="24" fillId="11" borderId="9" xfId="0" applyFont="1" applyFill="1" applyBorder="1" applyAlignment="1">
      <alignment horizontal="center" vertical="center"/>
    </xf>
    <xf numFmtId="0" fontId="22" fillId="0" borderId="3" xfId="0" applyFont="1" applyBorder="1" applyAlignment="1">
      <alignment vertical="center" indent="1"/>
    </xf>
    <xf numFmtId="0" fontId="1" fillId="0" borderId="0" xfId="0" applyFont="1"/>
    <xf numFmtId="0" fontId="2" fillId="0" borderId="1" xfId="0" applyFont="1" applyBorder="1" applyAlignment="1">
      <alignment vertical="top"/>
    </xf>
    <xf numFmtId="0" fontId="0" fillId="0" borderId="1" xfId="0" applyBorder="1"/>
    <xf numFmtId="0" fontId="3" fillId="0" borderId="0" xfId="0" applyFont="1" applyAlignment="1">
      <alignment vertical="center"/>
    </xf>
    <xf numFmtId="0" fontId="5" fillId="0" borderId="0" xfId="0" applyFont="1" applyAlignment="1">
      <alignment vertical="center" indent="1"/>
    </xf>
    <xf numFmtId="0" fontId="6" fillId="3" borderId="2" xfId="0" applyFont="1" applyFill="1" applyBorder="1" applyAlignment="1">
      <alignment horizontal="left" vertical="center"/>
    </xf>
    <xf numFmtId="0" fontId="7" fillId="0" borderId="0" xfId="0" applyFont="1" applyAlignment="1">
      <alignment vertical="center" wrapText="1"/>
    </xf>
    <xf numFmtId="164" fontId="6" fillId="3" borderId="2" xfId="0" applyNumberFormat="1" applyFont="1" applyFill="1" applyBorder="1" applyAlignment="1">
      <alignment horizontal="right" vertical="center"/>
    </xf>
    <xf numFmtId="0" fontId="6" fillId="3" borderId="2" xfId="0" applyFont="1" applyFill="1" applyBorder="1" applyAlignment="1">
      <alignment horizontal="center" vertical="center"/>
    </xf>
    <xf numFmtId="165" fontId="6" fillId="3" borderId="2"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166" fontId="6" fillId="3" borderId="2" xfId="0" applyNumberFormat="1" applyFont="1" applyFill="1" applyBorder="1" applyAlignment="1">
      <alignment horizontal="right" vertical="center"/>
    </xf>
    <xf numFmtId="0" fontId="8" fillId="0" borderId="0" xfId="0" applyFont="1" applyAlignment="1">
      <alignment vertical="center"/>
    </xf>
    <xf numFmtId="0" fontId="1" fillId="0" borderId="0" xfId="0" applyFont="1" applyAlignment="1">
      <alignment horizontal="left"/>
    </xf>
    <xf numFmtId="0" fontId="2" fillId="0" borderId="1" xfId="0" applyFont="1" applyBorder="1" applyAlignment="1">
      <alignment horizontal="left" vertical="center"/>
    </xf>
    <xf numFmtId="165" fontId="9" fillId="4" borderId="3" xfId="0" applyNumberFormat="1" applyFont="1" applyFill="1" applyBorder="1" applyAlignment="1">
      <alignment horizontal="right" vertical="center"/>
    </xf>
    <xf numFmtId="0" fontId="7" fillId="0" borderId="0" xfId="0" applyFont="1" applyAlignment="1">
      <alignment vertical="center"/>
    </xf>
    <xf numFmtId="166" fontId="9" fillId="4" borderId="3" xfId="0" applyNumberFormat="1" applyFont="1" applyFill="1" applyBorder="1" applyAlignment="1">
      <alignment horizontal="right" vertical="center"/>
    </xf>
    <xf numFmtId="166" fontId="10" fillId="0" borderId="4" xfId="0" applyNumberFormat="1" applyFont="1" applyBorder="1" applyAlignment="1">
      <alignment horizontal="right" vertical="center"/>
    </xf>
    <xf numFmtId="9" fontId="10" fillId="0" borderId="5" xfId="0" applyNumberFormat="1" applyFont="1" applyBorder="1" applyAlignment="1">
      <alignment horizontal="left" vertical="center" indent="1"/>
    </xf>
    <xf numFmtId="166" fontId="11" fillId="0" borderId="3" xfId="0" applyNumberFormat="1" applyFont="1" applyBorder="1" applyAlignment="1">
      <alignment horizontal="right" vertical="center"/>
    </xf>
    <xf numFmtId="167" fontId="5" fillId="4" borderId="3" xfId="0" applyNumberFormat="1" applyFont="1" applyFill="1" applyBorder="1" applyAlignment="1">
      <alignment horizontal="right" vertical="center"/>
    </xf>
    <xf numFmtId="165" fontId="5" fillId="4" borderId="3" xfId="0" applyNumberFormat="1" applyFont="1" applyFill="1" applyBorder="1" applyAlignment="1">
      <alignment horizontal="right" vertical="center"/>
    </xf>
    <xf numFmtId="164" fontId="5" fillId="4" borderId="3" xfId="0" applyNumberFormat="1" applyFont="1" applyFill="1" applyBorder="1" applyAlignment="1">
      <alignment horizontal="right" vertical="center"/>
    </xf>
    <xf numFmtId="0" fontId="9" fillId="0" borderId="0" xfId="0" applyFont="1" applyAlignment="1">
      <alignment vertical="center" indent="1"/>
    </xf>
    <xf numFmtId="164" fontId="9" fillId="4" borderId="3" xfId="0" applyNumberFormat="1" applyFont="1" applyFill="1" applyBorder="1" applyAlignment="1">
      <alignment horizontal="right" vertical="center"/>
    </xf>
    <xf numFmtId="168" fontId="9" fillId="4" borderId="3" xfId="0" applyNumberFormat="1" applyFont="1" applyFill="1" applyBorder="1" applyAlignment="1">
      <alignment horizontal="right" vertical="center"/>
    </xf>
    <xf numFmtId="169" fontId="5" fillId="4" borderId="3" xfId="0" applyNumberFormat="1" applyFont="1" applyFill="1" applyBorder="1" applyAlignment="1">
      <alignment horizontal="right" vertical="center"/>
    </xf>
    <xf numFmtId="168" fontId="5" fillId="4" borderId="3" xfId="0" applyNumberFormat="1" applyFont="1" applyFill="1" applyBorder="1" applyAlignment="1">
      <alignment horizontal="right" vertical="center"/>
    </xf>
    <xf numFmtId="0" fontId="9" fillId="4" borderId="3" xfId="0" applyFont="1" applyFill="1" applyBorder="1" applyAlignment="1">
      <alignment horizontal="center" vertical="center"/>
    </xf>
    <xf numFmtId="0" fontId="10" fillId="0" borderId="4" xfId="0" applyFont="1" applyBorder="1" applyAlignment="1">
      <alignment horizontal="right" vertical="center" wrapText="1"/>
    </xf>
    <xf numFmtId="166" fontId="11" fillId="0" borderId="0" xfId="0" applyNumberFormat="1" applyFont="1" applyAlignment="1">
      <alignment horizontal="left" vertical="center" indent="1"/>
    </xf>
    <xf numFmtId="166" fontId="11" fillId="4" borderId="3" xfId="0" applyNumberFormat="1" applyFont="1" applyFill="1" applyBorder="1" applyAlignment="1">
      <alignment horizontal="right" vertical="center"/>
    </xf>
    <xf numFmtId="0" fontId="7" fillId="0" borderId="0" xfId="0" applyFont="1" applyAlignment="1">
      <alignment vertical="center" indent="1"/>
    </xf>
    <xf numFmtId="166" fontId="11" fillId="4" borderId="3" xfId="0" applyNumberFormat="1" applyFont="1" applyFill="1" applyBorder="1" applyAlignment="1">
      <alignment horizontal="left" vertical="center"/>
    </xf>
    <xf numFmtId="0" fontId="11" fillId="0" borderId="0" xfId="0" applyFont="1" applyAlignment="1">
      <alignment horizontal="left" vertical="center"/>
    </xf>
    <xf numFmtId="0" fontId="9" fillId="0" borderId="0" xfId="0" applyFont="1" applyAlignment="1">
      <alignment vertical="center"/>
    </xf>
    <xf numFmtId="169" fontId="9" fillId="4" borderId="3" xfId="0" applyNumberFormat="1" applyFont="1" applyFill="1" applyBorder="1" applyAlignment="1">
      <alignment horizontal="right" vertical="center"/>
    </xf>
    <xf numFmtId="0" fontId="9" fillId="0" borderId="0" xfId="0" applyFont="1" applyAlignment="1">
      <alignment horizontal="left" vertical="center"/>
    </xf>
    <xf numFmtId="0" fontId="10" fillId="0" borderId="4"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vertical="center" wrapText="1"/>
    </xf>
    <xf numFmtId="0" fontId="8" fillId="0" borderId="0" xfId="0" applyFont="1" applyAlignment="1">
      <alignment vertical="center" wrapText="1"/>
    </xf>
    <xf numFmtId="0" fontId="0" fillId="0" borderId="0" xfId="0"/>
    <xf numFmtId="0" fontId="5" fillId="0" borderId="3" xfId="0" applyFont="1" applyBorder="1" applyAlignment="1">
      <alignment vertical="center" wrapText="1"/>
    </xf>
    <xf numFmtId="0" fontId="0" fillId="0" borderId="3" xfId="0" applyBorder="1"/>
    <xf numFmtId="0" fontId="5" fillId="0" borderId="0" xfId="0" applyFont="1" applyAlignment="1">
      <alignment vertical="center" wrapText="1" indent="1"/>
    </xf>
    <xf numFmtId="0" fontId="5" fillId="0" borderId="3" xfId="0" applyFont="1" applyBorder="1" applyAlignment="1">
      <alignment vertical="center" wrapText="1" indent="1"/>
    </xf>
    <xf numFmtId="0" fontId="5" fillId="0" borderId="0" xfId="0" applyFont="1" applyAlignment="1">
      <alignment vertical="center" wrapText="1"/>
    </xf>
    <xf numFmtId="0" fontId="10" fillId="0" borderId="4" xfId="0" applyFont="1" applyBorder="1" applyAlignment="1">
      <alignment horizontal="left" vertical="center" wrapText="1"/>
    </xf>
    <xf numFmtId="0" fontId="0" fillId="0" borderId="4" xfId="0" applyBorder="1"/>
    <xf numFmtId="0" fontId="5" fillId="0" borderId="0" xfId="0" applyFont="1" applyAlignment="1">
      <alignment horizontal="left" vertical="center" wrapText="1" indent="1"/>
    </xf>
    <xf numFmtId="170" fontId="15" fillId="5" borderId="8" xfId="0" applyNumberFormat="1" applyFont="1" applyFill="1" applyBorder="1" applyAlignment="1">
      <alignment horizontal="left" vertical="center" indent="1"/>
    </xf>
    <xf numFmtId="0" fontId="13" fillId="4" borderId="0" xfId="0" applyFont="1" applyFill="1" applyAlignment="1">
      <alignment horizontal="center" vertical="center"/>
    </xf>
    <xf numFmtId="0" fontId="7" fillId="5" borderId="3" xfId="0" applyFont="1" applyFill="1" applyBorder="1" applyAlignment="1">
      <alignment horizontal="left" vertical="top" wrapText="1" indent="1"/>
    </xf>
    <xf numFmtId="164" fontId="15" fillId="5" borderId="8" xfId="0" applyNumberFormat="1" applyFont="1" applyFill="1" applyBorder="1" applyAlignment="1">
      <alignment horizontal="left" vertical="center" indent="1"/>
    </xf>
    <xf numFmtId="0" fontId="14" fillId="5" borderId="6" xfId="0" applyFont="1" applyFill="1" applyBorder="1" applyAlignment="1">
      <alignment indent="1"/>
    </xf>
    <xf numFmtId="0" fontId="0" fillId="0" borderId="7" xfId="0" applyBorder="1"/>
    <xf numFmtId="166" fontId="15" fillId="5" borderId="8" xfId="0" applyNumberFormat="1" applyFont="1" applyFill="1" applyBorder="1" applyAlignment="1">
      <alignment horizontal="left" vertical="center" indent="1"/>
    </xf>
    <xf numFmtId="0" fontId="8" fillId="0" borderId="0" xfId="0" applyFont="1" applyAlignment="1">
      <alignment vertical="top" wrapText="1"/>
    </xf>
    <xf numFmtId="172" fontId="15" fillId="5" borderId="8" xfId="0" applyNumberFormat="1" applyFont="1" applyFill="1" applyBorder="1" applyAlignment="1">
      <alignment horizontal="left" vertical="center" indent="1"/>
    </xf>
    <xf numFmtId="0" fontId="16" fillId="0" borderId="0" xfId="0" applyFont="1" applyAlignment="1">
      <alignment horizontal="left" vertical="center" wrapText="1" indent="1"/>
    </xf>
    <xf numFmtId="171" fontId="15" fillId="5" borderId="8" xfId="0" applyNumberFormat="1" applyFont="1" applyFill="1" applyBorder="1" applyAlignment="1">
      <alignment horizontal="left" vertical="center" indent="1"/>
    </xf>
    <xf numFmtId="0" fontId="5" fillId="0" borderId="0" xfId="0" applyFont="1" applyAlignment="1">
      <alignment horizontal="left" vertical="center" indent="1"/>
    </xf>
    <xf numFmtId="0" fontId="7" fillId="0" borderId="0" xfId="0" applyFont="1" applyAlignment="1">
      <alignment vertical="center"/>
    </xf>
  </cellXfs>
  <cellStyles count="1">
    <cellStyle name="Normal" xfId="0" builtinId="0"/>
  </cellStyles>
  <dxfs count="15">
    <dxf>
      <font>
        <b/>
        <color rgb="FF9B1C1C"/>
        <name val="Aptos"/>
      </font>
      <fill>
        <patternFill patternType="solid">
          <fgColor rgb="FFF9E0E0"/>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7A4F00"/>
        <name val="Aptos"/>
      </font>
      <fill>
        <patternFill patternType="solid">
          <fgColor rgb="FFFFF0CC"/>
        </patternFill>
      </fill>
    </dxf>
    <dxf>
      <font>
        <b/>
        <color rgb="FF1E6B3C"/>
        <name val="Aptos"/>
      </font>
      <fill>
        <patternFill patternType="solid">
          <fgColor rgb="FFE2F0E6"/>
        </patternFill>
      </fill>
    </dxf>
    <dxf>
      <font>
        <b/>
        <name val="Aptos"/>
      </font>
      <border>
        <top style="medium">
          <color rgb="FFC9A84C"/>
        </top>
        <bottom style="medium">
          <color rgb="FFC9A84C"/>
        </bottom>
      </border>
    </dxf>
    <dxf>
      <font>
        <sz val="8"/>
        <color rgb="FF5F6673"/>
        <name val="Aptos"/>
      </font>
      <fill>
        <patternFill patternType="solid">
          <fgColor rgb="FFE6E8EC"/>
        </patternFill>
      </fill>
    </dxf>
    <dxf>
      <font>
        <b/>
        <color rgb="FF7A4F00"/>
        <name val="Aptos"/>
      </font>
      <fill>
        <patternFill patternType="solid">
          <fgColor rgb="FFFFF0CC"/>
        </patternFill>
      </fill>
    </dxf>
    <dxf>
      <font>
        <b/>
        <color rgb="FF9B1C1C"/>
        <name val="Aptos"/>
      </font>
      <fill>
        <patternFill patternType="solid">
          <fgColor rgb="FFF9E0E0"/>
        </patternFill>
      </fill>
    </dxf>
    <dxf>
      <font>
        <b/>
        <color rgb="FF7A4F00"/>
        <name val="Aptos"/>
      </font>
      <fill>
        <patternFill patternType="solid">
          <fgColor rgb="FFFFF0CC"/>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1E6B3C"/>
        <name val="Aptos"/>
      </font>
      <fill>
        <patternFill patternType="solid">
          <fgColor rgb="FFE2F0E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scatterChart>
        <c:scatterStyle val="lineMarker"/>
        <c:varyColors val="0"/>
        <c:ser>
          <c:idx val="0"/>
          <c:order val="0"/>
          <c:tx>
            <c:v>Volume change needed</c:v>
          </c:tx>
          <c:spPr>
            <a:ln w="31750">
              <a:solidFill>
                <a:srgbClr val="14213D"/>
              </a:solidFill>
              <a:prstDash val="solid"/>
            </a:ln>
          </c:spPr>
          <c:marker>
            <c:symbol val="none"/>
          </c:marker>
          <c:xVal>
            <c:numRef>
              <c:f>Calculations!$B$43:$B$67</c:f>
              <c:numCache>
                <c:formatCode>\+0.0%;\-0.0%;0.0%</c:formatCode>
                <c:ptCount val="25"/>
                <c:pt idx="0">
                  <c:v>-0.3</c:v>
                </c:pt>
                <c:pt idx="1">
                  <c:v>-0.27500000000000002</c:v>
                </c:pt>
                <c:pt idx="2">
                  <c:v>-0.25</c:v>
                </c:pt>
                <c:pt idx="3">
                  <c:v>-0.22500000000000001</c:v>
                </c:pt>
                <c:pt idx="4">
                  <c:v>-0.2</c:v>
                </c:pt>
                <c:pt idx="5">
                  <c:v>-0.17499999999999999</c:v>
                </c:pt>
                <c:pt idx="6">
                  <c:v>-0.15</c:v>
                </c:pt>
                <c:pt idx="7">
                  <c:v>-0.125</c:v>
                </c:pt>
                <c:pt idx="8">
                  <c:v>-0.1</c:v>
                </c:pt>
                <c:pt idx="9">
                  <c:v>-7.4999999999999997E-2</c:v>
                </c:pt>
                <c:pt idx="10">
                  <c:v>-0.05</c:v>
                </c:pt>
                <c:pt idx="11">
                  <c:v>-2.5000000000000001E-2</c:v>
                </c:pt>
                <c:pt idx="12">
                  <c:v>0</c:v>
                </c:pt>
                <c:pt idx="13">
                  <c:v>2.5000000000000001E-2</c:v>
                </c:pt>
                <c:pt idx="14">
                  <c:v>0.05</c:v>
                </c:pt>
                <c:pt idx="15">
                  <c:v>7.4999999999999997E-2</c:v>
                </c:pt>
                <c:pt idx="16">
                  <c:v>0.1</c:v>
                </c:pt>
                <c:pt idx="17">
                  <c:v>0.125</c:v>
                </c:pt>
                <c:pt idx="18">
                  <c:v>0.15</c:v>
                </c:pt>
                <c:pt idx="19">
                  <c:v>0.17499999999999999</c:v>
                </c:pt>
                <c:pt idx="20">
                  <c:v>0.2</c:v>
                </c:pt>
                <c:pt idx="21">
                  <c:v>0.22500000000000001</c:v>
                </c:pt>
                <c:pt idx="22">
                  <c:v>0.25</c:v>
                </c:pt>
                <c:pt idx="23">
                  <c:v>0.27500000000000002</c:v>
                </c:pt>
                <c:pt idx="24">
                  <c:v>0.3</c:v>
                </c:pt>
              </c:numCache>
            </c:numRef>
          </c:xVal>
          <c:yVal>
            <c:numRef>
              <c:f>Calculations!$D$43:$D$67</c:f>
              <c:numCache>
                <c:formatCode>\+0.0%;\-0.0%;0.0%</c:formatCode>
                <c:ptCount val="25"/>
                <c:pt idx="0">
                  <c:v>2.9999999999999991</c:v>
                </c:pt>
                <c:pt idx="1">
                  <c:v>2.2000000000000002</c:v>
                </c:pt>
                <c:pt idx="2">
                  <c:v>1.6666666666666665</c:v>
                </c:pt>
                <c:pt idx="3">
                  <c:v>1.2857142857142856</c:v>
                </c:pt>
                <c:pt idx="4">
                  <c:v>1</c:v>
                </c:pt>
                <c:pt idx="5">
                  <c:v>0.77777777777777757</c:v>
                </c:pt>
                <c:pt idx="6">
                  <c:v>0.6</c:v>
                </c:pt>
                <c:pt idx="7">
                  <c:v>0.45454545454545453</c:v>
                </c:pt>
                <c:pt idx="8">
                  <c:v>0.33333333333333331</c:v>
                </c:pt>
                <c:pt idx="9">
                  <c:v>0.23076923076923075</c:v>
                </c:pt>
                <c:pt idx="10">
                  <c:v>0.14285714285714285</c:v>
                </c:pt>
                <c:pt idx="11">
                  <c:v>6.6666666666666666E-2</c:v>
                </c:pt>
                <c:pt idx="12">
                  <c:v>0</c:v>
                </c:pt>
                <c:pt idx="13">
                  <c:v>-5.8823529411764705E-2</c:v>
                </c:pt>
                <c:pt idx="14">
                  <c:v>-0.11111111111111112</c:v>
                </c:pt>
                <c:pt idx="15">
                  <c:v>-0.15789473684210525</c:v>
                </c:pt>
                <c:pt idx="16">
                  <c:v>-0.2</c:v>
                </c:pt>
                <c:pt idx="17">
                  <c:v>-0.23809523809523808</c:v>
                </c:pt>
                <c:pt idx="18">
                  <c:v>-0.27272727272727271</c:v>
                </c:pt>
                <c:pt idx="19">
                  <c:v>-0.30434782608695654</c:v>
                </c:pt>
                <c:pt idx="20">
                  <c:v>-0.33333333333333331</c:v>
                </c:pt>
                <c:pt idx="21">
                  <c:v>-0.36</c:v>
                </c:pt>
                <c:pt idx="22">
                  <c:v>-0.38461538461538458</c:v>
                </c:pt>
                <c:pt idx="23">
                  <c:v>-0.40740740740740744</c:v>
                </c:pt>
                <c:pt idx="24">
                  <c:v>-0.4285714285714286</c:v>
                </c:pt>
              </c:numCache>
            </c:numRef>
          </c:yVal>
          <c:smooth val="1"/>
          <c:extLst>
            <c:ext xmlns:c16="http://schemas.microsoft.com/office/drawing/2014/chart" uri="{C3380CC4-5D6E-409C-BE32-E72D297353CC}">
              <c16:uniqueId val="{00000000-C807-CA4D-AAE1-385893C65306}"/>
            </c:ext>
          </c:extLst>
        </c:ser>
        <c:ser>
          <c:idx val="1"/>
          <c:order val="1"/>
          <c:tx>
            <c:v>Your proposed change</c:v>
          </c:tx>
          <c:spPr>
            <a:ln>
              <a:noFill/>
              <a:prstDash val="solid"/>
            </a:ln>
          </c:spPr>
          <c:marker>
            <c:symbol val="circle"/>
            <c:size val="10"/>
            <c:spPr>
              <a:solidFill>
                <a:srgbClr val="C9A84C"/>
              </a:solidFill>
              <a:ln w="12700">
                <a:solidFill>
                  <a:srgbClr val="7A5D17"/>
                </a:solidFill>
                <a:prstDash val="solid"/>
              </a:ln>
            </c:spPr>
          </c:marker>
          <c:dPt>
            <c:idx val="0"/>
            <c:bubble3D val="0"/>
            <c:extLst>
              <c:ext xmlns:c16="http://schemas.microsoft.com/office/drawing/2014/chart" uri="{C3380CC4-5D6E-409C-BE32-E72D297353CC}">
                <c16:uniqueId val="{00000002-C807-CA4D-AAE1-385893C65306}"/>
              </c:ext>
            </c:extLst>
          </c:dPt>
          <c:xVal>
            <c:numRef>
              <c:f>Calculations!$F$44</c:f>
              <c:numCache>
                <c:formatCode>\+0.0%;\-0.0%;0.0%</c:formatCode>
                <c:ptCount val="1"/>
                <c:pt idx="0">
                  <c:v>0.1</c:v>
                </c:pt>
              </c:numCache>
            </c:numRef>
          </c:xVal>
          <c:yVal>
            <c:numRef>
              <c:f>Calculations!$F$46</c:f>
              <c:numCache>
                <c:formatCode>\+0.0%;\-0.0%;0.0%</c:formatCode>
                <c:ptCount val="1"/>
                <c:pt idx="0">
                  <c:v>-0.2</c:v>
                </c:pt>
              </c:numCache>
            </c:numRef>
          </c:yVal>
          <c:smooth val="0"/>
          <c:extLst>
            <c:ext xmlns:c16="http://schemas.microsoft.com/office/drawing/2014/chart" uri="{C3380CC4-5D6E-409C-BE32-E72D297353CC}">
              <c16:uniqueId val="{00000003-C807-CA4D-AAE1-385893C65306}"/>
            </c:ext>
          </c:extLst>
        </c:ser>
        <c:dLbls>
          <c:showLegendKey val="0"/>
          <c:showVal val="0"/>
          <c:showCatName val="0"/>
          <c:showSerName val="0"/>
          <c:showPercent val="0"/>
          <c:showBubbleSize val="0"/>
        </c:dLbls>
        <c:axId val="10"/>
        <c:axId val="20"/>
      </c:scatterChart>
      <c:valAx>
        <c:axId val="10"/>
        <c:scaling>
          <c:orientation val="minMax"/>
          <c:max val="0.3"/>
          <c:min val="-0.3"/>
        </c:scaling>
        <c:delete val="0"/>
        <c:axPos val="b"/>
        <c:title>
          <c:tx>
            <c:rich>
              <a:bodyPr/>
              <a:lstStyle/>
              <a:p>
                <a:pPr>
                  <a:defRPr sz="800" b="0">
                    <a:solidFill>
                      <a:srgbClr val="5F6673"/>
                    </a:solidFill>
                    <a:latin typeface="Aptos"/>
                  </a:defRPr>
                </a:pPr>
                <a:r>
                  <a:rPr lang="en-AU" sz="800" b="0">
                    <a:solidFill>
                      <a:srgbClr val="5F6673"/>
                    </a:solidFill>
                    <a:latin typeface="Aptos"/>
                  </a:rPr>
                  <a:t>Price change</a:t>
                </a:r>
              </a:p>
            </c:rich>
          </c:tx>
          <c:overlay val="0"/>
        </c:title>
        <c:numFmt formatCode="\+0%;\-0%;0%" sourceLinked="0"/>
        <c:majorTickMark val="none"/>
        <c:minorTickMark val="none"/>
        <c:tickLblPos val="low"/>
        <c:spPr>
          <a:ln w="9525">
            <a:solidFill>
              <a:srgbClr val="9AA1AC"/>
            </a:solidFill>
            <a:prstDash val="solid"/>
          </a:ln>
        </c:spPr>
        <c:txPr>
          <a:bodyPr/>
          <a:lstStyle/>
          <a:p>
            <a:pPr>
              <a:defRPr sz="900">
                <a:solidFill>
                  <a:srgbClr val="5F6673"/>
                </a:solidFill>
                <a:latin typeface="Aptos"/>
              </a:defRPr>
            </a:pPr>
            <a:endParaRPr lang="en-US"/>
          </a:p>
        </c:txPr>
        <c:crossAx val="20"/>
        <c:crosses val="autoZero"/>
        <c:crossBetween val="midCat"/>
        <c:majorUnit val="0.1"/>
      </c:valAx>
      <c:valAx>
        <c:axId val="20"/>
        <c:scaling>
          <c:orientation val="minMax"/>
        </c:scaling>
        <c:delete val="0"/>
        <c:axPos val="l"/>
        <c:majorGridlines>
          <c:spPr>
            <a:ln w="6350">
              <a:solidFill>
                <a:srgbClr val="E3E6EB"/>
              </a:solidFill>
              <a:prstDash val="solid"/>
            </a:ln>
          </c:spPr>
        </c:majorGridlines>
        <c:title>
          <c:tx>
            <c:rich>
              <a:bodyPr/>
              <a:lstStyle/>
              <a:p>
                <a:pPr>
                  <a:defRPr sz="800" b="0">
                    <a:solidFill>
                      <a:srgbClr val="5F6673"/>
                    </a:solidFill>
                    <a:latin typeface="Aptos"/>
                  </a:defRPr>
                </a:pPr>
                <a:r>
                  <a:rPr lang="en-AU" sz="800" b="0">
                    <a:solidFill>
                      <a:srgbClr val="5F6673"/>
                    </a:solidFill>
                    <a:latin typeface="Aptos"/>
                  </a:rPr>
                  <a:t>Volume change needed</a:t>
                </a:r>
              </a:p>
            </c:rich>
          </c:tx>
          <c:overlay val="0"/>
        </c:title>
        <c:numFmt formatCode="\+0%;\-0%;0%" sourceLinked="0"/>
        <c:majorTickMark val="none"/>
        <c:minorTickMark val="none"/>
        <c:tickLblPos val="low"/>
        <c:spPr>
          <a:ln>
            <a:noFill/>
            <a:prstDash val="solid"/>
          </a:ln>
        </c:spPr>
        <c:txPr>
          <a:bodyPr/>
          <a:lstStyle/>
          <a:p>
            <a:pPr>
              <a:defRPr sz="900">
                <a:solidFill>
                  <a:srgbClr val="5F6673"/>
                </a:solidFill>
                <a:latin typeface="Aptos"/>
              </a:defRPr>
            </a:pPr>
            <a:endParaRPr lang="en-US"/>
          </a:p>
        </c:txPr>
        <c:crossAx val="10"/>
        <c:crosses val="autoZero"/>
        <c:crossBetween val="midCat"/>
      </c:valAx>
    </c:plotArea>
    <c:legend>
      <c:legendPos val="t"/>
      <c:overlay val="0"/>
      <c:txPr>
        <a:bodyPr/>
        <a:lstStyle/>
        <a:p>
          <a:pPr>
            <a:defRPr sz="900">
              <a:solidFill>
                <a:srgbClr val="1B2230"/>
              </a:solidFill>
              <a:latin typeface="Aptos"/>
            </a:defRPr>
          </a:pPr>
          <a:endParaRPr lang="en-US"/>
        </a:p>
      </c:txPr>
    </c:legend>
    <c:plotVisOnly val="1"/>
    <c:dispBlanksAs val="gap"/>
    <c:showDLblsOverMax val="1"/>
  </c:chart>
  <c:spPr>
    <a:ln>
      <a:no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col"/>
        <c:grouping val="clustered"/>
        <c:varyColors val="0"/>
        <c:ser>
          <c:idx val="0"/>
          <c:order val="0"/>
          <c:tx>
            <c:v>Gross profit</c:v>
          </c:tx>
          <c:spPr>
            <a:solidFill>
              <a:srgbClr val="14213D"/>
            </a:solidFill>
            <a:ln>
              <a:solidFill>
                <a:srgbClr val="14213D"/>
              </a:solidFill>
              <a:prstDash val="solid"/>
            </a:ln>
          </c:spPr>
          <c:invertIfNegative val="1"/>
          <c:dPt>
            <c:idx val="2"/>
            <c:invertIfNegative val="1"/>
            <c:bubble3D val="0"/>
            <c:spPr>
              <a:solidFill>
                <a:srgbClr val="C9A84C"/>
              </a:solidFill>
              <a:ln>
                <a:solidFill>
                  <a:srgbClr val="C9A84C"/>
                </a:solidFill>
                <a:prstDash val="solid"/>
              </a:ln>
            </c:spPr>
            <c:extLst>
              <c:ext xmlns:c16="http://schemas.microsoft.com/office/drawing/2014/chart" uri="{C3380CC4-5D6E-409C-BE32-E72D297353CC}">
                <c16:uniqueId val="{00000001-DA84-CA47-991B-E0CEB5A6BC82}"/>
              </c:ext>
            </c:extLst>
          </c:dPt>
          <c:dLbls>
            <c:spPr>
              <a:noFill/>
              <a:ln>
                <a:noFill/>
              </a:ln>
              <a:effectLst/>
            </c:spPr>
            <c:txPr>
              <a:bodyPr/>
              <a:lstStyle/>
              <a:p>
                <a:pPr>
                  <a:defRPr sz="900">
                    <a:solidFill>
                      <a:srgbClr val="1B2230"/>
                    </a:solidFill>
                    <a:latin typeface="Aptos"/>
                  </a:defRPr>
                </a:pPr>
                <a:endParaRPr lang="en-US"/>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Calculations!$F$70:$F$72</c:f>
              <c:strCache>
                <c:ptCount val="3"/>
                <c:pt idx="0">
                  <c:v>Today</c:v>
                </c:pt>
                <c:pt idx="1">
                  <c:v>After the change</c:v>
                </c:pt>
                <c:pt idx="2">
                  <c:v>After the discount</c:v>
                </c:pt>
              </c:strCache>
            </c:strRef>
          </c:cat>
          <c:val>
            <c:numRef>
              <c:f>Calculations!$D$70:$D$72</c:f>
              <c:numCache>
                <c:formatCode>"$"#,##0;[Red]\-"$"#,##0;"$"0</c:formatCode>
                <c:ptCount val="3"/>
                <c:pt idx="0">
                  <c:v>24000</c:v>
                </c:pt>
                <c:pt idx="1">
                  <c:v>28500</c:v>
                </c:pt>
                <c:pt idx="2">
                  <c:v>18000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4213D"/>
                    </a:solidFill>
                    <a:prstDash val="solid"/>
                  </a:ln>
                </c14:spPr>
              </c14:invertSolidFillFmt>
            </c:ext>
            <c:ext xmlns:c16="http://schemas.microsoft.com/office/drawing/2014/chart" uri="{C3380CC4-5D6E-409C-BE32-E72D297353CC}">
              <c16:uniqueId val="{00000002-DA84-CA47-991B-E0CEB5A6BC82}"/>
            </c:ext>
          </c:extLst>
        </c:ser>
        <c:dLbls>
          <c:showLegendKey val="0"/>
          <c:showVal val="0"/>
          <c:showCatName val="0"/>
          <c:showSerName val="0"/>
          <c:showPercent val="0"/>
          <c:showBubbleSize val="0"/>
        </c:dLbls>
        <c:gapWidth val="80"/>
        <c:axId val="10"/>
        <c:axId val="100"/>
      </c:barChart>
      <c:catAx>
        <c:axId val="10"/>
        <c:scaling>
          <c:orientation val="minMax"/>
        </c:scaling>
        <c:delete val="0"/>
        <c:axPos val="b"/>
        <c:numFmt formatCode="General" sourceLinked="1"/>
        <c:majorTickMark val="none"/>
        <c:minorTickMark val="none"/>
        <c:tickLblPos val="low"/>
        <c:spPr>
          <a:ln w="9525">
            <a:solidFill>
              <a:srgbClr val="9AA1AC"/>
            </a:solidFill>
            <a:prstDash val="solid"/>
          </a:ln>
        </c:spPr>
        <c:txPr>
          <a:bodyPr/>
          <a:lstStyle/>
          <a:p>
            <a:pPr>
              <a:defRPr sz="800">
                <a:solidFill>
                  <a:srgbClr val="5F6673"/>
                </a:solidFill>
                <a:latin typeface="Aptos"/>
              </a:defRPr>
            </a:pPr>
            <a:endParaRPr lang="en-US"/>
          </a:p>
        </c:txPr>
        <c:crossAx val="100"/>
        <c:crosses val="autoZero"/>
        <c:auto val="1"/>
        <c:lblAlgn val="ctr"/>
        <c:lblOffset val="100"/>
        <c:noMultiLvlLbl val="1"/>
      </c:catAx>
      <c:valAx>
        <c:axId val="100"/>
        <c:scaling>
          <c:orientation val="minMax"/>
        </c:scaling>
        <c:delete val="0"/>
        <c:axPos val="l"/>
        <c:majorGridlines>
          <c:spPr>
            <a:ln w="6350">
              <a:solidFill>
                <a:srgbClr val="E3E6EB"/>
              </a:solidFill>
              <a:prstDash val="solid"/>
            </a:ln>
          </c:spPr>
        </c:majorGridlines>
        <c:numFmt formatCode="&quot;$&quot;#,##0,&quot;k&quot;;\-&quot;$&quot;#,##0,&quot;k&quot;;&quot;$&quot;0" sourceLinked="0"/>
        <c:majorTickMark val="none"/>
        <c:minorTickMark val="none"/>
        <c:tickLblPos val="nextTo"/>
        <c:spPr>
          <a:ln>
            <a:noFill/>
            <a:prstDash val="solid"/>
          </a:ln>
        </c:spPr>
        <c:txPr>
          <a:bodyPr/>
          <a:lstStyle/>
          <a:p>
            <a:pPr>
              <a:defRPr sz="900">
                <a:solidFill>
                  <a:srgbClr val="5F6673"/>
                </a:solidFill>
                <a:latin typeface="Aptos"/>
              </a:defRPr>
            </a:pPr>
            <a:endParaRPr lang="en-US"/>
          </a:p>
        </c:txPr>
        <c:crossAx val="10"/>
        <c:crosses val="autoZero"/>
        <c:crossBetween val="between"/>
      </c:valAx>
    </c:plotArea>
    <c:plotVisOnly val="1"/>
    <c:dispBlanksAs val="gap"/>
    <c:showDLblsOverMax val="1"/>
  </c:chart>
  <c:spPr>
    <a:ln>
      <a:no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18</xdr:row>
      <xdr:rowOff>60000</xdr:rowOff>
    </xdr:from>
    <xdr:to>
      <xdr:col>9</xdr:col>
      <xdr:colOff>0</xdr:colOff>
      <xdr:row>34</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110000</xdr:colOff>
      <xdr:row>18</xdr:row>
      <xdr:rowOff>60000</xdr:rowOff>
    </xdr:from>
    <xdr:to>
      <xdr:col>16</xdr:col>
      <xdr:colOff>0</xdr:colOff>
      <xdr:row>34</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pto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4213D"/>
    <pageSetUpPr fitToPage="1"/>
  </sheetPr>
  <dimension ref="B1:I48"/>
  <sheetViews>
    <sheetView showGridLines="0" tabSelected="1" workbookViewId="0"/>
  </sheetViews>
  <sheetFormatPr baseColWidth="10" defaultColWidth="9" defaultRowHeight="18" customHeight="1" x14ac:dyDescent="0.2"/>
  <cols>
    <col min="1" max="1" width="2.3984375" customWidth="1"/>
    <col min="2" max="2" width="5" customWidth="1"/>
    <col min="3" max="3" width="30" customWidth="1"/>
    <col min="4" max="9" width="16" customWidth="1"/>
    <col min="10" max="10" width="3" customWidth="1"/>
  </cols>
  <sheetData>
    <row r="1" spans="2:9" ht="14" x14ac:dyDescent="0.2"/>
    <row r="2" spans="2:9" ht="14" customHeight="1" x14ac:dyDescent="0.2">
      <c r="B2" s="1"/>
      <c r="C2" s="1"/>
      <c r="D2" s="1"/>
      <c r="E2" s="1"/>
      <c r="F2" s="1"/>
      <c r="G2" s="1"/>
      <c r="H2" s="1"/>
      <c r="I2" s="1"/>
    </row>
    <row r="3" spans="2:9" ht="22" customHeight="1" x14ac:dyDescent="0.2">
      <c r="B3" s="1"/>
      <c r="C3" s="2" t="s">
        <v>0</v>
      </c>
      <c r="D3" s="1"/>
      <c r="E3" s="1"/>
      <c r="F3" s="1"/>
      <c r="G3" s="1"/>
      <c r="H3" s="1"/>
      <c r="I3" s="1"/>
    </row>
    <row r="4" spans="2:9" ht="40" customHeight="1" x14ac:dyDescent="0.2">
      <c r="B4" s="1"/>
      <c r="C4" s="3" t="s">
        <v>1</v>
      </c>
      <c r="D4" s="1"/>
      <c r="E4" s="1"/>
      <c r="F4" s="1"/>
      <c r="G4" s="1"/>
      <c r="H4" s="1"/>
      <c r="I4" s="1"/>
    </row>
    <row r="5" spans="2:9" ht="24" customHeight="1" x14ac:dyDescent="0.2">
      <c r="B5" s="1"/>
      <c r="C5" s="4" t="s">
        <v>2</v>
      </c>
      <c r="D5" s="1"/>
      <c r="E5" s="1"/>
      <c r="F5" s="1"/>
      <c r="G5" s="1"/>
      <c r="H5" s="1"/>
      <c r="I5" s="1"/>
    </row>
    <row r="6" spans="2:9" ht="14" customHeight="1" x14ac:dyDescent="0.2">
      <c r="B6" s="1"/>
      <c r="C6" s="1"/>
      <c r="D6" s="1"/>
      <c r="E6" s="1"/>
      <c r="F6" s="1"/>
      <c r="G6" s="1"/>
      <c r="H6" s="1"/>
      <c r="I6" s="1"/>
    </row>
    <row r="7" spans="2:9" ht="14" x14ac:dyDescent="0.2">
      <c r="B7" s="5"/>
      <c r="C7" s="5"/>
      <c r="D7" s="5"/>
      <c r="E7" s="5"/>
      <c r="F7" s="5"/>
      <c r="G7" s="5"/>
      <c r="H7" s="5"/>
      <c r="I7" s="5"/>
    </row>
    <row r="8" spans="2:9" ht="14" x14ac:dyDescent="0.2">
      <c r="C8" s="6" t="s">
        <v>3</v>
      </c>
      <c r="D8" s="7" t="s">
        <v>4</v>
      </c>
    </row>
    <row r="9" spans="2:9" ht="14" x14ac:dyDescent="0.2">
      <c r="C9" s="6" t="s">
        <v>5</v>
      </c>
      <c r="D9" s="7" t="s">
        <v>6</v>
      </c>
    </row>
    <row r="10" spans="2:9" ht="14" x14ac:dyDescent="0.2">
      <c r="C10" s="6" t="s">
        <v>7</v>
      </c>
      <c r="D10" s="7" t="s">
        <v>8</v>
      </c>
    </row>
    <row r="11" spans="2:9" ht="14" x14ac:dyDescent="0.2">
      <c r="C11" s="6" t="s">
        <v>9</v>
      </c>
      <c r="D11" s="7" t="s">
        <v>10</v>
      </c>
    </row>
    <row r="12" spans="2:9" ht="14" x14ac:dyDescent="0.2"/>
    <row r="13" spans="2:9" ht="30" customHeight="1" x14ac:dyDescent="0.2">
      <c r="C13" s="6" t="s">
        <v>11</v>
      </c>
      <c r="D13" s="8" t="str">
        <f>IF(Checks!$D$5=0,"Ready","Needs attention")</f>
        <v>Ready</v>
      </c>
      <c r="E13" s="77" t="str">
        <f>IF(Checks!$D$5=0,"All "&amp;Checks!$D$6&amp;" checks pass. The figures are ready to read on the Dashboard.",Checks!$D$5&amp;" of "&amp;Checks!$D$6&amp;" checks need a fix. Open the Checks sheet to see which.")</f>
        <v>All 14 checks pass. The figures are ready to read on the Dashboard.</v>
      </c>
      <c r="F13" s="69"/>
      <c r="G13" s="69"/>
      <c r="H13" s="69"/>
      <c r="I13" s="69"/>
    </row>
    <row r="14" spans="2:9" ht="14" x14ac:dyDescent="0.2"/>
    <row r="15" spans="2:9" ht="22" customHeight="1" x14ac:dyDescent="0.2">
      <c r="B15" s="9" t="s">
        <v>12</v>
      </c>
      <c r="C15" s="1"/>
      <c r="D15" s="1"/>
      <c r="E15" s="1"/>
      <c r="F15" s="1"/>
      <c r="G15" s="1"/>
      <c r="H15" s="1"/>
      <c r="I15" s="1"/>
    </row>
    <row r="16" spans="2:9" ht="32" customHeight="1" x14ac:dyDescent="0.2">
      <c r="B16" s="10">
        <v>1</v>
      </c>
      <c r="C16" s="70" t="s">
        <v>13</v>
      </c>
      <c r="D16" s="71"/>
      <c r="E16" s="71"/>
      <c r="F16" s="71"/>
      <c r="G16" s="71"/>
      <c r="H16" s="71"/>
      <c r="I16" s="71"/>
    </row>
    <row r="17" spans="2:9" ht="32" customHeight="1" x14ac:dyDescent="0.2">
      <c r="B17" s="10">
        <v>2</v>
      </c>
      <c r="C17" s="70" t="s">
        <v>14</v>
      </c>
      <c r="D17" s="71"/>
      <c r="E17" s="71"/>
      <c r="F17" s="71"/>
      <c r="G17" s="71"/>
      <c r="H17" s="71"/>
      <c r="I17" s="71"/>
    </row>
    <row r="18" spans="2:9" ht="32" customHeight="1" x14ac:dyDescent="0.2">
      <c r="B18" s="10">
        <v>3</v>
      </c>
      <c r="C18" s="70" t="s">
        <v>15</v>
      </c>
      <c r="D18" s="71"/>
      <c r="E18" s="71"/>
      <c r="F18" s="71"/>
      <c r="G18" s="71"/>
      <c r="H18" s="71"/>
      <c r="I18" s="71"/>
    </row>
    <row r="19" spans="2:9" ht="32" customHeight="1" x14ac:dyDescent="0.2">
      <c r="B19" s="10">
        <v>4</v>
      </c>
      <c r="C19" s="70" t="s">
        <v>16</v>
      </c>
      <c r="D19" s="71"/>
      <c r="E19" s="71"/>
      <c r="F19" s="71"/>
      <c r="G19" s="71"/>
      <c r="H19" s="71"/>
      <c r="I19" s="71"/>
    </row>
    <row r="20" spans="2:9" ht="32" customHeight="1" x14ac:dyDescent="0.2">
      <c r="B20" s="10">
        <v>5</v>
      </c>
      <c r="C20" s="70" t="s">
        <v>17</v>
      </c>
      <c r="D20" s="71"/>
      <c r="E20" s="71"/>
      <c r="F20" s="71"/>
      <c r="G20" s="71"/>
      <c r="H20" s="71"/>
      <c r="I20" s="71"/>
    </row>
    <row r="21" spans="2:9" ht="14" x14ac:dyDescent="0.2"/>
    <row r="22" spans="2:9" ht="22" customHeight="1" x14ac:dyDescent="0.2">
      <c r="B22" s="9" t="s">
        <v>18</v>
      </c>
      <c r="C22" s="1"/>
      <c r="D22" s="1"/>
      <c r="E22" s="1"/>
      <c r="F22" s="1"/>
      <c r="G22" s="1"/>
      <c r="H22" s="1"/>
      <c r="I22" s="1"/>
    </row>
    <row r="23" spans="2:9" ht="14" x14ac:dyDescent="0.2">
      <c r="B23" s="12"/>
      <c r="C23" s="13" t="s">
        <v>19</v>
      </c>
      <c r="D23" s="13" t="s">
        <v>20</v>
      </c>
      <c r="E23" s="75" t="s">
        <v>21</v>
      </c>
      <c r="F23" s="76"/>
      <c r="G23" s="76"/>
      <c r="H23" s="76"/>
      <c r="I23" s="76"/>
    </row>
    <row r="24" spans="2:9" ht="30" customHeight="1" x14ac:dyDescent="0.2">
      <c r="B24" s="14"/>
      <c r="C24" s="15" t="s">
        <v>22</v>
      </c>
      <c r="D24" s="16" t="s">
        <v>23</v>
      </c>
      <c r="E24" s="70" t="s">
        <v>24</v>
      </c>
      <c r="F24" s="71"/>
      <c r="G24" s="71"/>
      <c r="H24" s="71"/>
      <c r="I24" s="71"/>
    </row>
    <row r="25" spans="2:9" ht="30" customHeight="1" x14ac:dyDescent="0.2">
      <c r="B25" s="17"/>
      <c r="C25" s="15" t="s">
        <v>25</v>
      </c>
      <c r="D25" s="16" t="s">
        <v>26</v>
      </c>
      <c r="E25" s="70" t="s">
        <v>27</v>
      </c>
      <c r="F25" s="71"/>
      <c r="G25" s="71"/>
      <c r="H25" s="71"/>
      <c r="I25" s="71"/>
    </row>
    <row r="26" spans="2:9" ht="30" customHeight="1" x14ac:dyDescent="0.2">
      <c r="B26" s="18"/>
      <c r="C26" s="15" t="s">
        <v>28</v>
      </c>
      <c r="D26" s="16" t="s">
        <v>29</v>
      </c>
      <c r="E26" s="70" t="s">
        <v>30</v>
      </c>
      <c r="F26" s="71"/>
      <c r="G26" s="71"/>
      <c r="H26" s="71"/>
      <c r="I26" s="71"/>
    </row>
    <row r="27" spans="2:9" ht="30" customHeight="1" x14ac:dyDescent="0.2">
      <c r="B27" s="19"/>
      <c r="C27" s="15" t="s">
        <v>31</v>
      </c>
      <c r="D27" s="16" t="s">
        <v>32</v>
      </c>
      <c r="E27" s="70" t="s">
        <v>33</v>
      </c>
      <c r="F27" s="71"/>
      <c r="G27" s="71"/>
      <c r="H27" s="71"/>
      <c r="I27" s="71"/>
    </row>
    <row r="28" spans="2:9" ht="30" customHeight="1" x14ac:dyDescent="0.2">
      <c r="B28" s="19"/>
      <c r="C28" s="15" t="s">
        <v>34</v>
      </c>
      <c r="D28" s="16" t="s">
        <v>32</v>
      </c>
      <c r="E28" s="70" t="s">
        <v>35</v>
      </c>
      <c r="F28" s="71"/>
      <c r="G28" s="71"/>
      <c r="H28" s="71"/>
      <c r="I28" s="71"/>
    </row>
    <row r="29" spans="2:9" ht="30" customHeight="1" x14ac:dyDescent="0.2">
      <c r="B29" s="20"/>
      <c r="C29" s="15" t="s">
        <v>36</v>
      </c>
      <c r="D29" s="16" t="s">
        <v>36</v>
      </c>
      <c r="E29" s="70" t="s">
        <v>37</v>
      </c>
      <c r="F29" s="71"/>
      <c r="G29" s="71"/>
      <c r="H29" s="71"/>
      <c r="I29" s="71"/>
    </row>
    <row r="30" spans="2:9" ht="14" x14ac:dyDescent="0.2"/>
    <row r="31" spans="2:9" ht="22" customHeight="1" x14ac:dyDescent="0.2">
      <c r="B31" s="9" t="s">
        <v>38</v>
      </c>
      <c r="C31" s="1"/>
      <c r="D31" s="1"/>
      <c r="E31" s="1"/>
      <c r="F31" s="1"/>
      <c r="G31" s="1"/>
      <c r="H31" s="1"/>
      <c r="I31" s="1"/>
    </row>
    <row r="32" spans="2:9" ht="30" customHeight="1" x14ac:dyDescent="0.2">
      <c r="C32" s="21" t="s">
        <v>39</v>
      </c>
      <c r="D32" s="72" t="s">
        <v>40</v>
      </c>
      <c r="E32" s="69"/>
      <c r="F32" s="69"/>
      <c r="G32" s="69"/>
      <c r="H32" s="69"/>
      <c r="I32" s="69"/>
    </row>
    <row r="33" spans="2:9" ht="30" customHeight="1" x14ac:dyDescent="0.2">
      <c r="C33" s="22" t="s">
        <v>41</v>
      </c>
      <c r="D33" s="72" t="s">
        <v>42</v>
      </c>
      <c r="E33" s="69"/>
      <c r="F33" s="69"/>
      <c r="G33" s="69"/>
      <c r="H33" s="69"/>
      <c r="I33" s="69"/>
    </row>
    <row r="34" spans="2:9" ht="30" customHeight="1" x14ac:dyDescent="0.2">
      <c r="C34" s="23" t="s">
        <v>43</v>
      </c>
      <c r="D34" s="72" t="s">
        <v>44</v>
      </c>
      <c r="E34" s="69"/>
      <c r="F34" s="69"/>
      <c r="G34" s="69"/>
      <c r="H34" s="69"/>
      <c r="I34" s="69"/>
    </row>
    <row r="35" spans="2:9" ht="30" customHeight="1" x14ac:dyDescent="0.2">
      <c r="C35" s="24" t="s">
        <v>45</v>
      </c>
      <c r="D35" s="72" t="s">
        <v>46</v>
      </c>
      <c r="E35" s="69"/>
      <c r="F35" s="69"/>
      <c r="G35" s="69"/>
      <c r="H35" s="69"/>
      <c r="I35" s="69"/>
    </row>
    <row r="36" spans="2:9" ht="14" x14ac:dyDescent="0.2"/>
    <row r="37" spans="2:9" ht="22" customHeight="1" x14ac:dyDescent="0.2">
      <c r="B37" s="9" t="s">
        <v>47</v>
      </c>
      <c r="C37" s="1"/>
      <c r="D37" s="1"/>
      <c r="E37" s="1"/>
      <c r="F37" s="1"/>
      <c r="G37" s="1"/>
      <c r="H37" s="1"/>
      <c r="I37" s="1"/>
    </row>
    <row r="38" spans="2:9" ht="32" customHeight="1" x14ac:dyDescent="0.2">
      <c r="C38" s="74" t="s">
        <v>48</v>
      </c>
      <c r="D38" s="69"/>
      <c r="E38" s="69"/>
      <c r="F38" s="69"/>
      <c r="G38" s="69"/>
      <c r="H38" s="69"/>
      <c r="I38" s="69"/>
    </row>
    <row r="39" spans="2:9" ht="20" customHeight="1" x14ac:dyDescent="0.2">
      <c r="C39" s="25" t="s">
        <v>49</v>
      </c>
      <c r="D39" s="73" t="s">
        <v>50</v>
      </c>
      <c r="E39" s="71"/>
      <c r="F39" s="71"/>
      <c r="G39" s="71"/>
      <c r="H39" s="71"/>
      <c r="I39" s="71"/>
    </row>
    <row r="40" spans="2:9" ht="20" customHeight="1" x14ac:dyDescent="0.2">
      <c r="C40" s="25" t="s">
        <v>51</v>
      </c>
      <c r="D40" s="73" t="s">
        <v>52</v>
      </c>
      <c r="E40" s="71"/>
      <c r="F40" s="71"/>
      <c r="G40" s="71"/>
      <c r="H40" s="71"/>
      <c r="I40" s="71"/>
    </row>
    <row r="41" spans="2:9" ht="32" customHeight="1" x14ac:dyDescent="0.2">
      <c r="C41" s="25" t="s">
        <v>53</v>
      </c>
      <c r="D41" s="73" t="s">
        <v>54</v>
      </c>
      <c r="E41" s="71"/>
      <c r="F41" s="71"/>
      <c r="G41" s="71"/>
      <c r="H41" s="71"/>
      <c r="I41" s="71"/>
    </row>
    <row r="42" spans="2:9" ht="20" customHeight="1" x14ac:dyDescent="0.2">
      <c r="C42" s="25" t="s">
        <v>55</v>
      </c>
      <c r="D42" s="73" t="s">
        <v>56</v>
      </c>
      <c r="E42" s="71"/>
      <c r="F42" s="71"/>
      <c r="G42" s="71"/>
      <c r="H42" s="71"/>
      <c r="I42" s="71"/>
    </row>
    <row r="43" spans="2:9" ht="32" customHeight="1" x14ac:dyDescent="0.2">
      <c r="C43" s="68" t="s">
        <v>57</v>
      </c>
      <c r="D43" s="69"/>
      <c r="E43" s="69"/>
      <c r="F43" s="69"/>
      <c r="G43" s="69"/>
      <c r="H43" s="69"/>
      <c r="I43" s="69"/>
    </row>
    <row r="44" spans="2:9" ht="14" x14ac:dyDescent="0.2"/>
    <row r="45" spans="2:9" ht="22" customHeight="1" x14ac:dyDescent="0.2">
      <c r="B45" s="9" t="s">
        <v>58</v>
      </c>
      <c r="C45" s="1"/>
      <c r="D45" s="1"/>
      <c r="E45" s="1"/>
      <c r="F45" s="1"/>
      <c r="G45" s="1"/>
      <c r="H45" s="1"/>
      <c r="I45" s="1"/>
    </row>
    <row r="46" spans="2:9" ht="46" customHeight="1" x14ac:dyDescent="0.2">
      <c r="C46" s="74" t="s">
        <v>59</v>
      </c>
      <c r="D46" s="69"/>
      <c r="E46" s="69"/>
      <c r="F46" s="69"/>
      <c r="G46" s="69"/>
      <c r="H46" s="69"/>
      <c r="I46" s="69"/>
    </row>
    <row r="47" spans="2:9" ht="14" x14ac:dyDescent="0.2"/>
    <row r="48" spans="2:9" ht="30" customHeight="1" x14ac:dyDescent="0.2">
      <c r="C48" s="68" t="s">
        <v>60</v>
      </c>
      <c r="D48" s="69"/>
      <c r="E48" s="69"/>
      <c r="F48" s="69"/>
      <c r="G48" s="69"/>
      <c r="H48" s="69"/>
      <c r="I48" s="69"/>
    </row>
  </sheetData>
  <mergeCells count="25">
    <mergeCell ref="E13:I13"/>
    <mergeCell ref="D39:I39"/>
    <mergeCell ref="D33:I33"/>
    <mergeCell ref="D42:I42"/>
    <mergeCell ref="C20:I20"/>
    <mergeCell ref="E27:I27"/>
    <mergeCell ref="D35:I35"/>
    <mergeCell ref="C16:I16"/>
    <mergeCell ref="E26:I26"/>
    <mergeCell ref="D34:I34"/>
    <mergeCell ref="D40:I40"/>
    <mergeCell ref="E25:I25"/>
    <mergeCell ref="C48:I48"/>
    <mergeCell ref="C17:I17"/>
    <mergeCell ref="D32:I32"/>
    <mergeCell ref="E24:I24"/>
    <mergeCell ref="D41:I41"/>
    <mergeCell ref="C38:I38"/>
    <mergeCell ref="E23:I23"/>
    <mergeCell ref="C19:I19"/>
    <mergeCell ref="E29:I29"/>
    <mergeCell ref="C18:I18"/>
    <mergeCell ref="E28:I28"/>
    <mergeCell ref="C43:I43"/>
    <mergeCell ref="C46:I46"/>
  </mergeCells>
  <conditionalFormatting sqref="D13">
    <cfRule type="cellIs" dxfId="14" priority="1" operator="equal">
      <formula>"Ready"</formula>
    </cfRule>
    <cfRule type="cellIs" dxfId="13" priority="2" operator="equal">
      <formula>"Needs attention"</formula>
    </cfRule>
  </conditionalFormatting>
  <hyperlinks>
    <hyperlink ref="C24" location="'Cover'!A1" display="Cover" xr:uid="{00000000-0004-0000-0000-000000000000}"/>
    <hyperlink ref="C25" location="'Inputs'!A1" display="Inputs" xr:uid="{00000000-0004-0000-0000-000001000000}"/>
    <hyperlink ref="C26" location="'Dashboard'!A1" display="Dashboard" xr:uid="{00000000-0004-0000-0000-000002000000}"/>
    <hyperlink ref="C27" location="'Sensitivity'!A1" display="Sensitivity" xr:uid="{00000000-0004-0000-0000-000003000000}"/>
    <hyperlink ref="C28" location="'Calculations'!A1" display="Calculations" xr:uid="{00000000-0004-0000-0000-000004000000}"/>
    <hyperlink ref="C29" location="'Checks'!A1" display="Checks" xr:uid="{00000000-0004-0000-0000-000005000000}"/>
  </hyperlinks>
  <printOptions horizontalCentered="1"/>
  <pageMargins left="0.5" right="0.5" top="0.7" bottom="0.6" header="0.3" footer="0.3"/>
  <pageSetup paperSize="9" orientation="portrait"/>
  <headerFooter>
    <oddHeader>&amp;L&amp;8 &amp;K5F6673Price Increase Calculator&amp;R&amp;8 &amp;K5F6673Ivanka Menken, Strategic Mentor</oddHeader>
    <oddFooter>&amp;L&amp;8 &amp;K5F6673https://ivankamenken.com&amp;C&amp;8 &amp;K5F6673Page &amp;P of &amp;N&amp;R&amp;8 &amp;K5F6673&amp;A</oddFooter>
    <evenHeader>&amp;L&amp;8 &amp;K5F6673Price Increase Calculator&amp;R&amp;8 &amp;K5F6673Ivanka Menken, Strategic Mentor</evenHeader>
    <evenFooter>&amp;L&amp;8 &amp;K5F6673https://ivankamenken.com&amp;C&amp;8 &amp;K5F6673Page &amp;P of &amp;N&amp;R&amp;8 &amp;K5F6673&amp;A</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9A84C"/>
    <pageSetUpPr fitToPage="1"/>
  </sheetPr>
  <dimension ref="B1:F22"/>
  <sheetViews>
    <sheetView showGridLines="0" workbookViewId="0"/>
  </sheetViews>
  <sheetFormatPr baseColWidth="10" defaultColWidth="9" defaultRowHeight="18" customHeight="1" x14ac:dyDescent="0.2"/>
  <cols>
    <col min="1" max="1" width="2.3984375" customWidth="1"/>
    <col min="2" max="2" width="50" customWidth="1"/>
    <col min="3" max="3" width="2" customWidth="1"/>
    <col min="4" max="4" width="16" customWidth="1"/>
    <col min="5" max="5" width="2" customWidth="1"/>
    <col min="6" max="6" width="70" customWidth="1"/>
    <col min="7" max="7" width="2.3984375" customWidth="1"/>
  </cols>
  <sheetData>
    <row r="1" spans="2:6" ht="10" customHeight="1" x14ac:dyDescent="0.2"/>
    <row r="2" spans="2:6" ht="34" customHeight="1" x14ac:dyDescent="0.35">
      <c r="B2" s="26" t="s">
        <v>25</v>
      </c>
    </row>
    <row r="3" spans="2:6" ht="20" customHeight="1" x14ac:dyDescent="0.2">
      <c r="B3" s="27" t="s">
        <v>61</v>
      </c>
      <c r="C3" s="28"/>
      <c r="D3" s="28"/>
      <c r="E3" s="28"/>
      <c r="F3" s="28"/>
    </row>
    <row r="4" spans="2:6" ht="14" x14ac:dyDescent="0.2">
      <c r="B4" s="29" t="s">
        <v>62</v>
      </c>
    </row>
    <row r="6" spans="2:6" ht="22" customHeight="1" x14ac:dyDescent="0.2">
      <c r="B6" s="9" t="s">
        <v>63</v>
      </c>
      <c r="C6" s="1"/>
      <c r="D6" s="1"/>
      <c r="E6" s="1"/>
      <c r="F6" s="1"/>
    </row>
    <row r="7" spans="2:6" ht="24" customHeight="1" x14ac:dyDescent="0.2">
      <c r="B7" s="30" t="s">
        <v>64</v>
      </c>
      <c r="D7" s="31"/>
      <c r="F7" s="32" t="s">
        <v>65</v>
      </c>
    </row>
    <row r="8" spans="2:6" ht="24" customHeight="1" x14ac:dyDescent="0.2">
      <c r="B8" s="30" t="s">
        <v>66</v>
      </c>
      <c r="D8" s="31" t="s">
        <v>67</v>
      </c>
      <c r="F8" s="32" t="s">
        <v>68</v>
      </c>
    </row>
    <row r="9" spans="2:6" ht="24" customHeight="1" x14ac:dyDescent="0.2">
      <c r="B9" s="30" t="s">
        <v>69</v>
      </c>
      <c r="D9" s="33">
        <v>1200</v>
      </c>
      <c r="F9" s="32" t="s">
        <v>70</v>
      </c>
    </row>
    <row r="10" spans="2:6" ht="24" customHeight="1" x14ac:dyDescent="0.2">
      <c r="B10" s="30" t="s">
        <v>71</v>
      </c>
      <c r="D10" s="34" t="s">
        <v>72</v>
      </c>
      <c r="F10" s="32" t="s">
        <v>73</v>
      </c>
    </row>
    <row r="11" spans="2:6" ht="24" customHeight="1" x14ac:dyDescent="0.2">
      <c r="B11" s="30" t="s">
        <v>74</v>
      </c>
      <c r="D11" s="33">
        <v>720</v>
      </c>
      <c r="F11" s="32" t="s">
        <v>75</v>
      </c>
    </row>
    <row r="12" spans="2:6" ht="24" customHeight="1" x14ac:dyDescent="0.2">
      <c r="B12" s="30" t="s">
        <v>76</v>
      </c>
      <c r="D12" s="35">
        <v>0.4</v>
      </c>
      <c r="F12" s="32" t="s">
        <v>77</v>
      </c>
    </row>
    <row r="13" spans="2:6" ht="24" customHeight="1" x14ac:dyDescent="0.2">
      <c r="B13" s="30" t="s">
        <v>78</v>
      </c>
      <c r="D13" s="36">
        <v>50</v>
      </c>
      <c r="F13" s="32" t="s">
        <v>79</v>
      </c>
    </row>
    <row r="15" spans="2:6" ht="22" customHeight="1" x14ac:dyDescent="0.2">
      <c r="B15" s="9" t="s">
        <v>80</v>
      </c>
      <c r="C15" s="1"/>
      <c r="D15" s="1"/>
      <c r="E15" s="1"/>
      <c r="F15" s="1"/>
    </row>
    <row r="16" spans="2:6" ht="24" customHeight="1" x14ac:dyDescent="0.2">
      <c r="B16" s="30" t="s">
        <v>81</v>
      </c>
      <c r="D16" s="37">
        <v>0.1</v>
      </c>
      <c r="F16" s="32" t="s">
        <v>82</v>
      </c>
    </row>
    <row r="17" spans="2:6" ht="24" customHeight="1" x14ac:dyDescent="0.2">
      <c r="B17" s="30" t="s">
        <v>83</v>
      </c>
      <c r="D17" s="35">
        <v>0.1</v>
      </c>
      <c r="F17" s="32" t="s">
        <v>84</v>
      </c>
    </row>
    <row r="18" spans="2:6" ht="24" customHeight="1" x14ac:dyDescent="0.2">
      <c r="B18" s="30" t="s">
        <v>85</v>
      </c>
      <c r="D18" s="35">
        <v>0.05</v>
      </c>
      <c r="F18" s="32" t="s">
        <v>86</v>
      </c>
    </row>
    <row r="19" spans="2:6" ht="24" customHeight="1" x14ac:dyDescent="0.2">
      <c r="B19" s="30" t="s">
        <v>87</v>
      </c>
      <c r="D19" s="35">
        <v>0.45</v>
      </c>
      <c r="F19" s="32" t="s">
        <v>88</v>
      </c>
    </row>
    <row r="21" spans="2:6" ht="14" x14ac:dyDescent="0.2">
      <c r="B21" s="38" t="s">
        <v>89</v>
      </c>
    </row>
    <row r="22" spans="2:6" ht="14" x14ac:dyDescent="0.2">
      <c r="B22" s="38" t="s">
        <v>90</v>
      </c>
    </row>
  </sheetData>
  <dataValidations count="11">
    <dataValidation type="textLength" operator="lessThanOrEqual" allowBlank="1" showInputMessage="1" showErrorMessage="1" errorTitle="Check this entry" error="Keep the business name to 60 characters or fewer." promptTitle="Business name" prompt="Optional. Shows in the Dashboard title. Up to 60 characters." sqref="D7" xr:uid="{00000000-0002-0000-0100-000000000000}">
      <formula1>60</formula1>
    </dataValidation>
    <dataValidation type="textLength" allowBlank="1" showInputMessage="1" showErrorMessage="1" errorTitle="Check this entry" error="Type a short word, 1 to 30 characters, for example clients." promptTitle="What you count" prompt="The unit you price, in the plural: clients, jobs, hours, units. Example: clients. Used in the sentences on the Dashboard." sqref="D8" xr:uid="{00000000-0002-0000-0100-000001000000}">
      <formula1>1</formula1>
      <formula2>30</formula2>
    </dataValidation>
    <dataValidation type="decimal" allowBlank="1" showInputMessage="1" showErrorMessage="1" errorTitle="Check this entry" error="Type a dollar amount as a plain number, for example 25000. No letters or dollar signs." promptTitle="Current price" prompt="What you charge for one unit today, in dollars, excluding GST. Example: 1200. A unit can be a client per month, a job or an hour." sqref="D9" xr:uid="{00000000-0002-0000-0100-000002000000}">
      <formula1>0.01</formula1>
      <formula2>1000000000</formula2>
    </dataValidation>
    <dataValidation type="list" showInputMessage="1" showErrorMessage="1" errorTitle="Check this entry" error="Pick Unit cost or Gross margin % from the list." promptTitle="Cost or margin" prompt="Pick Unit cost if you know the variable cost of one unit, or Gross margin % if that is what you know." sqref="D10" xr:uid="{00000000-0002-0000-0100-000003000000}">
      <formula1>"Unit cost,Gross margin %"</formula1>
    </dataValidation>
    <dataValidation type="decimal" allowBlank="1" showInputMessage="1" showErrorMessage="1" errorTitle="Check this entry" error="Type a dollar amount as a plain number, for example 25000. No letters or dollar signs." promptTitle="Variable cost per unit" prompt="The cost that goes away if you do not sell one unit: materials, subcontractors, direct labour. In dollars. Example: 720." sqref="D11" xr:uid="{00000000-0002-0000-0100-000004000000}">
      <formula1>0</formula1>
      <formula2>1000000000</formula2>
    </dataValidation>
    <dataValidation type="decimal" allowBlank="1" showInputMessage="1" showErrorMessage="1" errorTitle="Check this entry" error="Type a percentage between 0% and 99%, for example 12%." promptTitle="Gross margin" prompt="Revenue less the direct cost of delivering it, as a share of price. Example: 40%. A rough margin you watch beats an exact one you never look at." sqref="D12" xr:uid="{00000000-0002-0000-0100-000005000000}">
      <formula1>0</formula1>
      <formula2>0.99</formula2>
    </dataValidation>
    <dataValidation type="decimal" allowBlank="1" showInputMessage="1" showErrorMessage="1" errorTitle="Check this entry" error="Type a number above zero, for example 50." promptTitle="Current volume" prompt="Units sold or clients served in the period you are looking at. Example: 50. Use the same period for price, cost and volume." sqref="D13" xr:uid="{00000000-0002-0000-0100-000006000000}">
      <formula1>0.01</formula1>
      <formula2>100000000</formula2>
    </dataValidation>
    <dataValidation type="decimal" allowBlank="1" showInputMessage="1" showErrorMessage="1" errorTitle="Check this entry" error="Type a percentage between -90% and 200%, for example 12%." promptTitle="Proposed price change" prompt="The price change you are weighing, as a percentage. Example: 10% for a ten per cent rise. A negative number tests a cut." sqref="D16" xr:uid="{00000000-0002-0000-0100-000007000000}">
      <formula1>-0.9</formula1>
      <formula2>2</formula2>
    </dataValidation>
    <dataValidation type="decimal" allowBlank="1" showInputMessage="1" showErrorMessage="1" errorTitle="Check this entry" error="Type a percentage between 0% and 90%, for example 12%." promptTitle="Proposed discount" prompt="A discount you are weighing, as a percentage off the current price. Example: 10%." sqref="D17" xr:uid="{00000000-0002-0000-0100-000008000000}">
      <formula1>0</formula1>
      <formula2>0.9</formula2>
    </dataValidation>
    <dataValidation type="decimal" allowBlank="1" showInputMessage="1" showErrorMessage="1" errorTitle="Check this entry" error="Type a percentage between 0% and 100%, for example 12%." promptTitle="Expected loss" prompt="Your own estimate of the share of volume or clients you might lose after the rise. Example: 5%. Use 0% if you expect none." sqref="D18" xr:uid="{00000000-0002-0000-0100-000009000000}">
      <formula1>0</formula1>
      <formula2>1</formula2>
    </dataValidation>
    <dataValidation type="decimal" allowBlank="1" showInputMessage="1" showErrorMessage="1" errorTitle="Check this entry" error="Type a percentage between 0% and 99%, for example 12%." promptTitle="Target gross margin" prompt="The gross margin you are aiming for. Example: 45%. The Dashboard status compares the margin after the rise with it." sqref="D19" xr:uid="{00000000-0002-0000-0100-00000A000000}">
      <formula1>0</formula1>
      <formula2>0.99</formula2>
    </dataValidation>
  </dataValidations>
  <printOptions horizontalCentered="1"/>
  <pageMargins left="0.45" right="0.45" top="0.75" bottom="0.65" header="0.3" footer="0.3"/>
  <pageSetup paperSize="9" fitToHeight="0" orientation="landscape"/>
  <headerFooter>
    <oddHeader>&amp;L&amp;8 &amp;K5F6673Price Increase Calculator&amp;R&amp;8 &amp;K5F6673Ivanka Menken, Strategic Mentor</oddHeader>
    <oddFooter>&amp;L&amp;8 &amp;K5F6673https://ivankamenken.com&amp;C&amp;8 &amp;K5F6673Page &amp;P of &amp;N&amp;R&amp;8 &amp;K5F6673&amp;A</oddFooter>
    <evenHeader>&amp;L&amp;8 &amp;K5F6673Price Increase Calculator&amp;R&amp;8 &amp;K5F6673Ivanka Menken, Strategic Mentor</evenHeader>
    <evenFooter>&amp;L&amp;8 &amp;K5F6673https://ivankamenken.com&amp;C&amp;8 &amp;K5F6673Page &amp;P of &amp;N&amp;R&amp;8 &amp;K5F6673&amp;A</even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4A7A"/>
    <pageSetUpPr fitToPage="1"/>
  </sheetPr>
  <dimension ref="B2:P36"/>
  <sheetViews>
    <sheetView showGridLines="0" workbookViewId="0"/>
  </sheetViews>
  <sheetFormatPr baseColWidth="10" defaultColWidth="9" defaultRowHeight="18" customHeight="1" x14ac:dyDescent="0.2"/>
  <cols>
    <col min="1" max="1" width="2.3984375" customWidth="1"/>
    <col min="2" max="16" width="10.19921875" customWidth="1"/>
    <col min="17" max="17" width="2.3984375" customWidth="1"/>
  </cols>
  <sheetData>
    <row r="2" spans="2:16" ht="34" customHeight="1" x14ac:dyDescent="0.35">
      <c r="B2" s="39" t="str">
        <f>IF(Inputs!$D$7="","Price increase calculator",Inputs!$D$7&amp;": price increase calculator")</f>
        <v>Price increase calculator</v>
      </c>
    </row>
    <row r="3" spans="2:16" ht="14" x14ac:dyDescent="0.2">
      <c r="B3" s="40" t="str">
        <f>"Price "&amp;IF((Inputs!$D$9)&lt;0,"minus $"&amp;FIXED(-(Inputs!$D$9),0),"$"&amp;FIXED(Inputs!$D$9,0))&amp;", gross margin "&amp;FIXED((Calculations!$D$8)*100,1)&amp;"%"&amp;", "&amp;FIXED(Inputs!$D$13,0)&amp;" "&amp;Inputs!$D$8&amp;" in the period. Does the move raise margin, or only revenue?"</f>
        <v>Price $1,200, gross margin 40.0%, 50 clients in the period. Does the move raise margin, or only revenue?</v>
      </c>
      <c r="C3" s="28"/>
      <c r="D3" s="28"/>
      <c r="E3" s="28"/>
      <c r="F3" s="28"/>
      <c r="G3" s="28"/>
      <c r="H3" s="28"/>
      <c r="I3" s="28"/>
      <c r="J3" s="28"/>
      <c r="K3" s="28"/>
      <c r="L3" s="28"/>
      <c r="M3" s="28"/>
      <c r="N3" s="28"/>
      <c r="O3" s="28"/>
      <c r="P3" s="28"/>
    </row>
    <row r="5" spans="2:16" ht="28" customHeight="1" x14ac:dyDescent="0.2">
      <c r="B5" s="6" t="s">
        <v>91</v>
      </c>
      <c r="C5" s="79" t="str">
        <f>IF(Checks!$D$5&gt;0,"Check inputs",Calculations!$D$39)</f>
        <v>On target</v>
      </c>
      <c r="D5" s="69"/>
      <c r="E5" s="89" t="str">
        <f>IF(Checks!$D$5&gt;0,"Some inputs need a fix: the Checks sheet lists what to change. The readings below wait until they pass.","New gross margin "&amp;FIXED((Calculations!$D$15)*100,1)&amp;"%"&amp;" against your "&amp;FIXED((Inputs!$D$19)*100,1)&amp;"%"&amp;" target: "&amp;IF(C5="On target","on target.",IF(C5="Watch","margin rises, short of the target.","margin falls.")))</f>
        <v>New gross margin 45.5% against your 45.0% target: on target.</v>
      </c>
      <c r="F5" s="69"/>
      <c r="G5" s="69"/>
      <c r="H5" s="69"/>
      <c r="I5" s="69"/>
      <c r="J5" s="69"/>
      <c r="K5" s="69"/>
      <c r="L5" s="69"/>
      <c r="M5" s="69"/>
      <c r="N5" s="69"/>
      <c r="O5" s="69"/>
      <c r="P5" s="69"/>
    </row>
    <row r="7" spans="2:16" ht="26" customHeight="1" x14ac:dyDescent="0.2">
      <c r="B7" s="82" t="s">
        <v>92</v>
      </c>
      <c r="C7" s="83"/>
      <c r="D7" s="83"/>
      <c r="E7" s="82" t="s">
        <v>93</v>
      </c>
      <c r="F7" s="83"/>
      <c r="G7" s="83"/>
      <c r="H7" s="82" t="s">
        <v>94</v>
      </c>
      <c r="I7" s="83"/>
      <c r="J7" s="83"/>
      <c r="K7" s="82" t="s">
        <v>95</v>
      </c>
      <c r="L7" s="83"/>
      <c r="M7" s="83"/>
      <c r="N7" s="82" t="s">
        <v>96</v>
      </c>
      <c r="O7" s="83"/>
      <c r="P7" s="83"/>
    </row>
    <row r="8" spans="2:16" ht="40" customHeight="1" x14ac:dyDescent="0.2">
      <c r="B8" s="78">
        <f>Calculations!$D$18</f>
        <v>0.2</v>
      </c>
      <c r="C8" s="69"/>
      <c r="D8" s="69"/>
      <c r="E8" s="88">
        <f>Calculations!$D$16</f>
        <v>40</v>
      </c>
      <c r="F8" s="69"/>
      <c r="G8" s="69"/>
      <c r="H8" s="86">
        <f>Calculations!$D$25</f>
        <v>4500</v>
      </c>
      <c r="I8" s="69"/>
      <c r="J8" s="69"/>
      <c r="K8" s="84">
        <f>Calculations!$D$34</f>
        <v>0.33333333333333343</v>
      </c>
      <c r="L8" s="69"/>
      <c r="M8" s="69"/>
      <c r="N8" s="81">
        <f>Calculations!$D$13</f>
        <v>1320</v>
      </c>
      <c r="O8" s="69"/>
      <c r="P8" s="69"/>
    </row>
    <row r="9" spans="2:16" ht="30" customHeight="1" x14ac:dyDescent="0.2">
      <c r="B9" s="80" t="str">
        <f>IF(Checks!$D$5&gt;0,"",FIXED(Calculations!$D$17,1)&amp;" "&amp;Inputs!$D$8&amp;" before gross profit falls")</f>
        <v>10.0 clients before gross profit falls</v>
      </c>
      <c r="C9" s="71"/>
      <c r="D9" s="71"/>
      <c r="E9" s="80" t="str">
        <f>IF(Checks!$D$5&gt;0,"","Today: "&amp;FIXED(Inputs!$D$13,0)&amp;" "&amp;Inputs!$D$8)</f>
        <v>Today: 50 clients</v>
      </c>
      <c r="F9" s="71"/>
      <c r="G9" s="71"/>
      <c r="H9" s="80" t="str">
        <f>IF(Checks!$D$5&gt;0,"","Losing "&amp;FIXED((Inputs!$D$18)*100,1)&amp;"%"&amp;": "&amp;IF((Calculations!$D$24)&lt;0,"minus $"&amp;FIXED(-(Calculations!$D$24),0),"$"&amp;FIXED(Calculations!$D$24,0))&amp;" a period")</f>
        <v>Losing 5.0%: $28,500 a period</v>
      </c>
      <c r="I9" s="71"/>
      <c r="J9" s="71"/>
      <c r="K9" s="80" t="str">
        <f>IF(Checks!$D$5&gt;0,"","More "&amp;Inputs!$D$8&amp;" to stand still: "&amp;FIXED(Calculations!$D$33,1))</f>
        <v>More clients to stand still: 16.7</v>
      </c>
      <c r="L9" s="71"/>
      <c r="M9" s="71"/>
      <c r="N9" s="80" t="str">
        <f>IF(Checks!$D$5&gt;0,"","Was "&amp;IF((Inputs!$D$9)&lt;0,"minus $"&amp;FIXED(-(Inputs!$D$9),0),"$"&amp;FIXED(Inputs!$D$9,0))&amp;", margin now "&amp;FIXED((Calculations!$D$15)*100,1)&amp;"%")</f>
        <v>Was $1,200, margin now 45.5%</v>
      </c>
      <c r="O9" s="71"/>
      <c r="P9" s="71"/>
    </row>
    <row r="11" spans="2:16" ht="22" customHeight="1" x14ac:dyDescent="0.2">
      <c r="B11" s="9" t="s">
        <v>97</v>
      </c>
      <c r="C11" s="1"/>
      <c r="D11" s="1"/>
      <c r="E11" s="1"/>
      <c r="F11" s="1"/>
      <c r="G11" s="1"/>
      <c r="H11" s="1"/>
      <c r="I11" s="1"/>
      <c r="J11" s="1"/>
      <c r="K11" s="1"/>
      <c r="L11" s="1"/>
      <c r="M11" s="1"/>
      <c r="N11" s="1"/>
      <c r="O11" s="1"/>
      <c r="P11" s="1"/>
    </row>
    <row r="12" spans="2:16" ht="22" customHeight="1" x14ac:dyDescent="0.2">
      <c r="B12" s="77" t="str">
        <f>IF(Checks!$D$5&gt;0,"Readings are on hold until every row on the Checks sheet reads Pass.",IF(Calculations!$D$14&lt;=0,"The change leaves no margin per unit: every sale would lose money.","A "&amp;FIXED((ABS(Inputs!$D$16))*100,1)&amp;"%"&amp;" price "&amp;IF(Inputs!$D$16&gt;=0,"rise","cut")&amp;" means you "&amp;IF(Calculations!$D$17&gt;=0,"could lose up to "&amp;FIXED(Calculations!$D$17,1)&amp;" of your "&amp;FIXED(Inputs!$D$13,0)&amp;" "&amp;Inputs!$D$8&amp;" ("&amp;FIXED((Calculations!$D$18)*100,1)&amp;"%"&amp;") before gross profit falls below "&amp;IF((Calculations!$D$10)&lt;0,"minus $"&amp;FIXED(-(Calculations!$D$10),0),"$"&amp;FIXED(Calculations!$D$10,0))&amp;".","would need "&amp;FIXED(-Calculations!$D$17,1)&amp;" more "&amp;Inputs!$D$8&amp;" ("&amp;FIXED((-Calculations!$D$18)*100,1)&amp;"%"&amp;") to keep gross profit at "&amp;IF((Calculations!$D$10)&lt;0,"minus $"&amp;FIXED(-(Calculations!$D$10),0),"$"&amp;FIXED(Calculations!$D$10,0))&amp;".")))</f>
        <v>A 10.0% price rise means you could lose up to 10.0 of your 50 clients (20.0%) before gross profit falls below $24,000.</v>
      </c>
      <c r="C12" s="69"/>
      <c r="D12" s="69"/>
      <c r="E12" s="69"/>
      <c r="F12" s="69"/>
      <c r="G12" s="69"/>
      <c r="H12" s="69"/>
      <c r="I12" s="69"/>
      <c r="J12" s="69"/>
      <c r="K12" s="69"/>
      <c r="L12" s="69"/>
      <c r="M12" s="69"/>
      <c r="N12" s="69"/>
      <c r="O12" s="69"/>
      <c r="P12" s="69"/>
    </row>
    <row r="13" spans="2:16" ht="22" customHeight="1" x14ac:dyDescent="0.2">
      <c r="B13" s="77" t="str">
        <f>IF(Checks!$D$5&gt;0,"","If you lose "&amp;FIXED((Inputs!$D$18)*100,1)&amp;"%"&amp;" ("&amp;FIXED(Inputs!$D$13*Inputs!$D$18,1)&amp;" "&amp;Inputs!$D$8&amp;"), gross profit "&amp;IF(Calculations!$D$25&gt;=0,"rises by ","falls by ")&amp;IF((ABS(Calculations!$D$25))&lt;0,"minus $"&amp;FIXED(-(ABS(Calculations!$D$25)),0),"$"&amp;FIXED(ABS(Calculations!$D$25),0))&amp;" to "&amp;IF((Calculations!$D$24)&lt;0,"minus $"&amp;FIXED(-(Calculations!$D$24),0),"$"&amp;FIXED(Calculations!$D$24,0))&amp;" a period"&amp;IF(Calculations!$D$25&gt;=0,", on less work.",". Your estimate is above the break-even loss."))</f>
        <v>If you lose 5.0% (2.5 clients), gross profit rises by $4,500 to $28,500 a period, on less work.</v>
      </c>
      <c r="C13" s="69"/>
      <c r="D13" s="69"/>
      <c r="E13" s="69"/>
      <c r="F13" s="69"/>
      <c r="G13" s="69"/>
      <c r="H13" s="69"/>
      <c r="I13" s="69"/>
      <c r="J13" s="69"/>
      <c r="K13" s="69"/>
      <c r="L13" s="69"/>
      <c r="M13" s="69"/>
      <c r="N13" s="69"/>
      <c r="O13" s="69"/>
      <c r="P13" s="69"/>
    </row>
    <row r="14" spans="2:16" ht="22" customHeight="1" x14ac:dyDescent="0.2">
      <c r="B14" s="77" t="str">
        <f>IF(Checks!$D$5&gt;0,"",IF(Calculations!$D$30&lt;=0,"A "&amp;FIXED((Inputs!$D$17)*100,1)&amp;"%"&amp;" discount wipes out the margin: every sale would lose money.","A "&amp;FIXED((Inputs!$D$17)*100,1)&amp;"%"&amp;" discount needs "&amp;FIXED(Calculations!$D$33,1)&amp;" more "&amp;Inputs!$D$8&amp;" ("&amp;FIXED((Calculations!$D$34)*100,1)&amp;"%"&amp;") just to keep gross profit level: revenue up, margin down."))</f>
        <v>A 10.0% discount needs 16.7 more clients (33.3%) just to keep gross profit level: revenue up, margin down.</v>
      </c>
      <c r="C14" s="69"/>
      <c r="D14" s="69"/>
      <c r="E14" s="69"/>
      <c r="F14" s="69"/>
      <c r="G14" s="69"/>
      <c r="H14" s="69"/>
      <c r="I14" s="69"/>
      <c r="J14" s="69"/>
      <c r="K14" s="69"/>
      <c r="L14" s="69"/>
      <c r="M14" s="69"/>
      <c r="N14" s="69"/>
      <c r="O14" s="69"/>
      <c r="P14" s="69"/>
    </row>
    <row r="15" spans="2:16" ht="22" customHeight="1" x14ac:dyDescent="0.2">
      <c r="B15" s="77" t="str">
        <f>IF(Checks!$D$5&gt;0,"",IF(Calculations!$D$15&gt;Calculations!$D$8,"Margin first: the price change raises margin. The discount only buys revenue. Start with the price of your newest work, not your oldest client.","Margin first: this change lowers margin. Test a rise on your newest work instead, and track gross margin monthly."))</f>
        <v>Margin first: the price change raises margin. The discount only buys revenue. Start with the price of your newest work, not your oldest client.</v>
      </c>
      <c r="C15" s="69"/>
      <c r="D15" s="69"/>
      <c r="E15" s="69"/>
      <c r="F15" s="69"/>
      <c r="G15" s="69"/>
      <c r="H15" s="69"/>
      <c r="I15" s="69"/>
      <c r="J15" s="69"/>
      <c r="K15" s="69"/>
      <c r="L15" s="69"/>
      <c r="M15" s="69"/>
      <c r="N15" s="69"/>
      <c r="O15" s="69"/>
      <c r="P15" s="69"/>
    </row>
    <row r="16" spans="2:16" ht="22" customHeight="1" x14ac:dyDescent="0.2">
      <c r="B16" s="87" t="str">
        <f>"Some clients may leave, and that is not automatically a failure. The question is whether the business can afford to serve them at the old price."</f>
        <v>Some clients may leave, and that is not automatically a failure. The question is whether the business can afford to serve them at the old price.</v>
      </c>
      <c r="C16" s="69"/>
      <c r="D16" s="69"/>
      <c r="E16" s="69"/>
      <c r="F16" s="69"/>
      <c r="G16" s="69"/>
      <c r="H16" s="69"/>
      <c r="I16" s="69"/>
      <c r="J16" s="69"/>
      <c r="K16" s="69"/>
      <c r="L16" s="69"/>
      <c r="M16" s="69"/>
      <c r="N16" s="69"/>
      <c r="O16" s="69"/>
      <c r="P16" s="69"/>
    </row>
    <row r="18" spans="2:16" ht="22" customHeight="1" x14ac:dyDescent="0.2">
      <c r="B18" s="9" t="s">
        <v>98</v>
      </c>
      <c r="C18" s="1"/>
      <c r="D18" s="1"/>
      <c r="E18" s="1"/>
      <c r="F18" s="1"/>
      <c r="G18" s="1"/>
      <c r="H18" s="1"/>
      <c r="I18" s="1"/>
      <c r="J18" s="9" t="s">
        <v>99</v>
      </c>
      <c r="K18" s="1"/>
      <c r="L18" s="1"/>
      <c r="M18" s="1"/>
      <c r="N18" s="1"/>
      <c r="O18" s="1"/>
      <c r="P18" s="1"/>
    </row>
    <row r="36" spans="2:16" ht="30" customHeight="1" x14ac:dyDescent="0.2">
      <c r="B36" s="85" t="s">
        <v>100</v>
      </c>
      <c r="C36" s="69"/>
      <c r="D36" s="69"/>
      <c r="E36" s="69"/>
      <c r="F36" s="69"/>
      <c r="G36" s="69"/>
      <c r="H36" s="69"/>
      <c r="I36" s="69"/>
      <c r="J36" s="69"/>
      <c r="K36" s="69"/>
      <c r="L36" s="69"/>
      <c r="M36" s="69"/>
      <c r="N36" s="69"/>
      <c r="O36" s="69"/>
      <c r="P36" s="69"/>
    </row>
  </sheetData>
  <mergeCells count="23">
    <mergeCell ref="B15:P15"/>
    <mergeCell ref="B36:P36"/>
    <mergeCell ref="H8:J8"/>
    <mergeCell ref="B7:D7"/>
    <mergeCell ref="N7:P7"/>
    <mergeCell ref="B16:P16"/>
    <mergeCell ref="K9:M9"/>
    <mergeCell ref="E8:G8"/>
    <mergeCell ref="H9:J9"/>
    <mergeCell ref="B12:P12"/>
    <mergeCell ref="B8:D8"/>
    <mergeCell ref="C5:D5"/>
    <mergeCell ref="B14:P14"/>
    <mergeCell ref="E9:G9"/>
    <mergeCell ref="N8:P8"/>
    <mergeCell ref="B13:P13"/>
    <mergeCell ref="H7:J7"/>
    <mergeCell ref="K8:M8"/>
    <mergeCell ref="B9:D9"/>
    <mergeCell ref="N9:P9"/>
    <mergeCell ref="E7:G7"/>
    <mergeCell ref="K7:M7"/>
    <mergeCell ref="E5:P5"/>
  </mergeCells>
  <conditionalFormatting sqref="C5">
    <cfRule type="cellIs" dxfId="12" priority="1" operator="equal">
      <formula>"On target"</formula>
    </cfRule>
    <cfRule type="cellIs" dxfId="11" priority="2" operator="equal">
      <formula>"Watch"</formula>
    </cfRule>
    <cfRule type="cellIs" dxfId="10" priority="3" operator="equal">
      <formula>"Below target"</formula>
    </cfRule>
    <cfRule type="cellIs" dxfId="9" priority="4" operator="equal">
      <formula>"Check inputs"</formula>
    </cfRule>
  </conditionalFormatting>
  <printOptions horizontalCentered="1"/>
  <pageMargins left="0.45" right="0.45" top="0.75" bottom="0.65" header="0.3" footer="0.3"/>
  <pageSetup paperSize="9" orientation="landscape"/>
  <headerFooter>
    <oddHeader>&amp;L&amp;8 &amp;K5F6673Price Increase Calculator&amp;R&amp;8 &amp;K5F6673Ivanka Menken, Strategic Mentor</oddHeader>
    <oddFooter>&amp;L&amp;8 &amp;K5F6673https://ivankamenken.com&amp;C&amp;8 &amp;K5F6673Page &amp;P of &amp;N&amp;R&amp;8 &amp;K5F6673&amp;A</oddFooter>
    <evenHeader>&amp;L&amp;8 &amp;K5F6673Price Increase Calculator&amp;R&amp;8 &amp;K5F6673Ivanka Menken, Strategic Mentor</evenHeader>
    <evenFooter>&amp;L&amp;8 &amp;K5F6673https://ivankamenken.com&amp;C&amp;8 &amp;K5F6673Page &amp;P of &amp;N&amp;R&amp;8 &amp;K5F6673&amp;A</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919C"/>
    <pageSetUpPr fitToPage="1"/>
  </sheetPr>
  <dimension ref="B1:O23"/>
  <sheetViews>
    <sheetView showGridLines="0" workbookViewId="0">
      <pane xSplit="2" ySplit="9" topLeftCell="C10" activePane="bottomRight" state="frozen"/>
      <selection pane="topRight"/>
      <selection pane="bottomLeft"/>
      <selection pane="bottomRight"/>
    </sheetView>
  </sheetViews>
  <sheetFormatPr baseColWidth="10" defaultColWidth="9" defaultRowHeight="18" customHeight="1" x14ac:dyDescent="0.2"/>
  <cols>
    <col min="1" max="1" width="2.3984375" customWidth="1"/>
    <col min="2" max="2" width="16" customWidth="1"/>
    <col min="3" max="15" width="9.3984375" customWidth="1"/>
    <col min="16" max="16" width="2.3984375" customWidth="1"/>
  </cols>
  <sheetData>
    <row r="1" spans="2:15" ht="10" customHeight="1" x14ac:dyDescent="0.2"/>
    <row r="2" spans="2:15" ht="34" customHeight="1" x14ac:dyDescent="0.35">
      <c r="B2" s="26" t="s">
        <v>31</v>
      </c>
    </row>
    <row r="3" spans="2:15" ht="20" customHeight="1" x14ac:dyDescent="0.2">
      <c r="B3" s="27" t="s">
        <v>101</v>
      </c>
      <c r="C3" s="28"/>
      <c r="D3" s="28"/>
      <c r="E3" s="28"/>
      <c r="F3" s="28"/>
      <c r="G3" s="28"/>
      <c r="H3" s="28"/>
      <c r="I3" s="28"/>
      <c r="J3" s="28"/>
      <c r="K3" s="28"/>
      <c r="L3" s="28"/>
      <c r="M3" s="28"/>
      <c r="N3" s="28"/>
      <c r="O3" s="28"/>
    </row>
    <row r="5" spans="2:15" ht="14" x14ac:dyDescent="0.2">
      <c r="B5" s="7" t="s">
        <v>102</v>
      </c>
      <c r="C5" s="41">
        <f>Calculations!$D$8</f>
        <v>0.4</v>
      </c>
      <c r="E5" s="90" t="s">
        <v>103</v>
      </c>
      <c r="F5" s="69"/>
      <c r="G5" s="69"/>
      <c r="H5" s="69"/>
      <c r="I5" s="69"/>
      <c r="J5" s="69"/>
      <c r="K5" s="69"/>
      <c r="L5" s="69"/>
      <c r="M5" s="69"/>
      <c r="N5" s="69"/>
      <c r="O5" s="69"/>
    </row>
    <row r="6" spans="2:15" ht="14" x14ac:dyDescent="0.2">
      <c r="B6" s="7" t="s">
        <v>104</v>
      </c>
      <c r="C6" s="43">
        <f>Inputs!$D$16</f>
        <v>0.1</v>
      </c>
      <c r="E6" s="90" t="s">
        <v>105</v>
      </c>
      <c r="F6" s="69"/>
      <c r="G6" s="69"/>
      <c r="H6" s="69"/>
      <c r="I6" s="69"/>
      <c r="J6" s="69"/>
      <c r="K6" s="69"/>
      <c r="L6" s="69"/>
      <c r="M6" s="69"/>
      <c r="N6" s="69"/>
      <c r="O6" s="69"/>
    </row>
    <row r="8" spans="2:15" ht="22" customHeight="1" x14ac:dyDescent="0.2">
      <c r="B8" s="9" t="s">
        <v>106</v>
      </c>
      <c r="C8" s="1"/>
      <c r="D8" s="1"/>
      <c r="E8" s="1"/>
      <c r="F8" s="1"/>
      <c r="G8" s="1"/>
      <c r="H8" s="1"/>
      <c r="I8" s="1"/>
      <c r="J8" s="1"/>
      <c r="K8" s="1"/>
      <c r="L8" s="1"/>
      <c r="M8" s="1"/>
      <c r="N8" s="1"/>
      <c r="O8" s="1"/>
    </row>
    <row r="9" spans="2:15" ht="14" x14ac:dyDescent="0.2">
      <c r="B9" s="13" t="s">
        <v>107</v>
      </c>
      <c r="C9" s="44">
        <v>-0.3</v>
      </c>
      <c r="D9" s="44">
        <v>-0.25</v>
      </c>
      <c r="E9" s="44">
        <v>-0.2</v>
      </c>
      <c r="F9" s="44">
        <v>-0.15</v>
      </c>
      <c r="G9" s="44">
        <v>-0.1</v>
      </c>
      <c r="H9" s="44">
        <v>-0.05</v>
      </c>
      <c r="I9" s="44">
        <v>0</v>
      </c>
      <c r="J9" s="44">
        <v>0.05</v>
      </c>
      <c r="K9" s="44">
        <v>0.1</v>
      </c>
      <c r="L9" s="44">
        <v>0.15</v>
      </c>
      <c r="M9" s="44">
        <v>0.2</v>
      </c>
      <c r="N9" s="44">
        <v>0.25</v>
      </c>
      <c r="O9" s="44">
        <v>0.3</v>
      </c>
    </row>
    <row r="10" spans="2:15" ht="20" customHeight="1" x14ac:dyDescent="0.2">
      <c r="B10" s="45">
        <v>0.2</v>
      </c>
      <c r="C10" s="46" t="str">
        <f t="shared" ref="C10:O20" si="0">IF($B10+C$9&gt;0,-C$9/($B10+C$9),"Margin gone")</f>
        <v>Margin gone</v>
      </c>
      <c r="D10" s="46" t="str">
        <f t="shared" si="0"/>
        <v>Margin gone</v>
      </c>
      <c r="E10" s="46" t="str">
        <f t="shared" si="0"/>
        <v>Margin gone</v>
      </c>
      <c r="F10" s="46">
        <f t="shared" si="0"/>
        <v>2.9999999999999991</v>
      </c>
      <c r="G10" s="46">
        <f t="shared" si="0"/>
        <v>1</v>
      </c>
      <c r="H10" s="46">
        <f t="shared" si="0"/>
        <v>0.33333333333333331</v>
      </c>
      <c r="I10" s="46">
        <f t="shared" si="0"/>
        <v>0</v>
      </c>
      <c r="J10" s="46">
        <f t="shared" si="0"/>
        <v>-0.2</v>
      </c>
      <c r="K10" s="46">
        <f t="shared" si="0"/>
        <v>-0.33333333333333331</v>
      </c>
      <c r="L10" s="46">
        <f t="shared" si="0"/>
        <v>-0.4285714285714286</v>
      </c>
      <c r="M10" s="46">
        <f t="shared" si="0"/>
        <v>-0.5</v>
      </c>
      <c r="N10" s="46">
        <f t="shared" si="0"/>
        <v>-0.55555555555555558</v>
      </c>
      <c r="O10" s="46">
        <f t="shared" si="0"/>
        <v>-0.6</v>
      </c>
    </row>
    <row r="11" spans="2:15" ht="20" customHeight="1" x14ac:dyDescent="0.2">
      <c r="B11" s="45">
        <v>0.25</v>
      </c>
      <c r="C11" s="46" t="str">
        <f t="shared" si="0"/>
        <v>Margin gone</v>
      </c>
      <c r="D11" s="46" t="str">
        <f t="shared" si="0"/>
        <v>Margin gone</v>
      </c>
      <c r="E11" s="46">
        <f t="shared" si="0"/>
        <v>4.0000000000000009</v>
      </c>
      <c r="F11" s="46">
        <f t="shared" si="0"/>
        <v>1.4999999999999998</v>
      </c>
      <c r="G11" s="46">
        <f t="shared" si="0"/>
        <v>0.66666666666666674</v>
      </c>
      <c r="H11" s="46">
        <f t="shared" si="0"/>
        <v>0.25</v>
      </c>
      <c r="I11" s="46">
        <f t="shared" si="0"/>
        <v>0</v>
      </c>
      <c r="J11" s="46">
        <f t="shared" si="0"/>
        <v>-0.16666666666666669</v>
      </c>
      <c r="K11" s="46">
        <f t="shared" si="0"/>
        <v>-0.28571428571428575</v>
      </c>
      <c r="L11" s="46">
        <f t="shared" si="0"/>
        <v>-0.37499999999999994</v>
      </c>
      <c r="M11" s="46">
        <f t="shared" si="0"/>
        <v>-0.44444444444444448</v>
      </c>
      <c r="N11" s="46">
        <f t="shared" si="0"/>
        <v>-0.5</v>
      </c>
      <c r="O11" s="46">
        <f t="shared" si="0"/>
        <v>-0.54545454545454541</v>
      </c>
    </row>
    <row r="12" spans="2:15" ht="20" customHeight="1" x14ac:dyDescent="0.2">
      <c r="B12" s="45">
        <v>0.3</v>
      </c>
      <c r="C12" s="46" t="str">
        <f t="shared" si="0"/>
        <v>Margin gone</v>
      </c>
      <c r="D12" s="46">
        <f t="shared" si="0"/>
        <v>5.0000000000000009</v>
      </c>
      <c r="E12" s="46">
        <f t="shared" si="0"/>
        <v>2.0000000000000004</v>
      </c>
      <c r="F12" s="46">
        <f t="shared" si="0"/>
        <v>1</v>
      </c>
      <c r="G12" s="46">
        <f t="shared" si="0"/>
        <v>0.50000000000000011</v>
      </c>
      <c r="H12" s="46">
        <f t="shared" si="0"/>
        <v>0.2</v>
      </c>
      <c r="I12" s="46">
        <f t="shared" si="0"/>
        <v>0</v>
      </c>
      <c r="J12" s="46">
        <f t="shared" si="0"/>
        <v>-0.14285714285714288</v>
      </c>
      <c r="K12" s="46">
        <f t="shared" si="0"/>
        <v>-0.25</v>
      </c>
      <c r="L12" s="46">
        <f t="shared" si="0"/>
        <v>-0.33333333333333337</v>
      </c>
      <c r="M12" s="46">
        <f t="shared" si="0"/>
        <v>-0.4</v>
      </c>
      <c r="N12" s="46">
        <f t="shared" si="0"/>
        <v>-0.45454545454545453</v>
      </c>
      <c r="O12" s="46">
        <f t="shared" si="0"/>
        <v>-0.5</v>
      </c>
    </row>
    <row r="13" spans="2:15" ht="20" customHeight="1" x14ac:dyDescent="0.2">
      <c r="B13" s="45">
        <v>0.35</v>
      </c>
      <c r="C13" s="46">
        <f t="shared" si="0"/>
        <v>6.0000000000000009</v>
      </c>
      <c r="D13" s="46">
        <f t="shared" si="0"/>
        <v>2.5000000000000004</v>
      </c>
      <c r="E13" s="46">
        <f t="shared" si="0"/>
        <v>1.3333333333333337</v>
      </c>
      <c r="F13" s="46">
        <f t="shared" si="0"/>
        <v>0.75</v>
      </c>
      <c r="G13" s="46">
        <f t="shared" si="0"/>
        <v>0.40000000000000008</v>
      </c>
      <c r="H13" s="46">
        <f t="shared" si="0"/>
        <v>0.16666666666666669</v>
      </c>
      <c r="I13" s="46">
        <f t="shared" si="0"/>
        <v>0</v>
      </c>
      <c r="J13" s="46">
        <f t="shared" si="0"/>
        <v>-0.12500000000000003</v>
      </c>
      <c r="K13" s="46">
        <f t="shared" si="0"/>
        <v>-0.22222222222222227</v>
      </c>
      <c r="L13" s="46">
        <f t="shared" si="0"/>
        <v>-0.3</v>
      </c>
      <c r="M13" s="46">
        <f t="shared" si="0"/>
        <v>-0.36363636363636365</v>
      </c>
      <c r="N13" s="46">
        <f t="shared" si="0"/>
        <v>-0.41666666666666669</v>
      </c>
      <c r="O13" s="46">
        <f t="shared" si="0"/>
        <v>-0.46153846153846156</v>
      </c>
    </row>
    <row r="14" spans="2:15" ht="20" customHeight="1" x14ac:dyDescent="0.2">
      <c r="B14" s="45">
        <v>0.4</v>
      </c>
      <c r="C14" s="46">
        <f t="shared" si="0"/>
        <v>2.9999999999999991</v>
      </c>
      <c r="D14" s="46">
        <f t="shared" si="0"/>
        <v>1.6666666666666665</v>
      </c>
      <c r="E14" s="46">
        <f t="shared" si="0"/>
        <v>1</v>
      </c>
      <c r="F14" s="46">
        <f t="shared" si="0"/>
        <v>0.6</v>
      </c>
      <c r="G14" s="46">
        <f t="shared" si="0"/>
        <v>0.33333333333333331</v>
      </c>
      <c r="H14" s="46">
        <f t="shared" si="0"/>
        <v>0.14285714285714285</v>
      </c>
      <c r="I14" s="46">
        <f t="shared" si="0"/>
        <v>0</v>
      </c>
      <c r="J14" s="46">
        <f t="shared" si="0"/>
        <v>-0.11111111111111112</v>
      </c>
      <c r="K14" s="46">
        <f t="shared" si="0"/>
        <v>-0.2</v>
      </c>
      <c r="L14" s="46">
        <f t="shared" si="0"/>
        <v>-0.27272727272727271</v>
      </c>
      <c r="M14" s="46">
        <f t="shared" si="0"/>
        <v>-0.33333333333333331</v>
      </c>
      <c r="N14" s="46">
        <f t="shared" si="0"/>
        <v>-0.38461538461538458</v>
      </c>
      <c r="O14" s="46">
        <f t="shared" si="0"/>
        <v>-0.4285714285714286</v>
      </c>
    </row>
    <row r="15" spans="2:15" ht="20" customHeight="1" x14ac:dyDescent="0.2">
      <c r="B15" s="45">
        <v>0.45</v>
      </c>
      <c r="C15" s="46">
        <f t="shared" si="0"/>
        <v>1.9999999999999996</v>
      </c>
      <c r="D15" s="46">
        <f t="shared" si="0"/>
        <v>1.25</v>
      </c>
      <c r="E15" s="46">
        <f t="shared" si="0"/>
        <v>0.8</v>
      </c>
      <c r="F15" s="46">
        <f t="shared" si="0"/>
        <v>0.49999999999999989</v>
      </c>
      <c r="G15" s="46">
        <f t="shared" si="0"/>
        <v>0.28571428571428575</v>
      </c>
      <c r="H15" s="46">
        <f t="shared" si="0"/>
        <v>0.125</v>
      </c>
      <c r="I15" s="46">
        <f t="shared" si="0"/>
        <v>0</v>
      </c>
      <c r="J15" s="46">
        <f t="shared" si="0"/>
        <v>-0.1</v>
      </c>
      <c r="K15" s="46">
        <f t="shared" si="0"/>
        <v>-0.18181818181818182</v>
      </c>
      <c r="L15" s="46">
        <f t="shared" si="0"/>
        <v>-0.25</v>
      </c>
      <c r="M15" s="46">
        <f t="shared" si="0"/>
        <v>-0.30769230769230771</v>
      </c>
      <c r="N15" s="46">
        <f t="shared" si="0"/>
        <v>-0.35714285714285715</v>
      </c>
      <c r="O15" s="46">
        <f t="shared" si="0"/>
        <v>-0.39999999999999997</v>
      </c>
    </row>
    <row r="16" spans="2:15" ht="20" customHeight="1" x14ac:dyDescent="0.2">
      <c r="B16" s="45">
        <v>0.5</v>
      </c>
      <c r="C16" s="46">
        <f t="shared" si="0"/>
        <v>1.4999999999999998</v>
      </c>
      <c r="D16" s="46">
        <f t="shared" si="0"/>
        <v>1</v>
      </c>
      <c r="E16" s="46">
        <f t="shared" si="0"/>
        <v>0.66666666666666674</v>
      </c>
      <c r="F16" s="46">
        <f t="shared" si="0"/>
        <v>0.4285714285714286</v>
      </c>
      <c r="G16" s="46">
        <f t="shared" si="0"/>
        <v>0.25</v>
      </c>
      <c r="H16" s="46">
        <f t="shared" si="0"/>
        <v>0.11111111111111112</v>
      </c>
      <c r="I16" s="46">
        <f t="shared" si="0"/>
        <v>0</v>
      </c>
      <c r="J16" s="46">
        <f t="shared" si="0"/>
        <v>-9.0909090909090912E-2</v>
      </c>
      <c r="K16" s="46">
        <f t="shared" si="0"/>
        <v>-0.16666666666666669</v>
      </c>
      <c r="L16" s="46">
        <f t="shared" si="0"/>
        <v>-0.23076923076923075</v>
      </c>
      <c r="M16" s="46">
        <f t="shared" si="0"/>
        <v>-0.28571428571428575</v>
      </c>
      <c r="N16" s="46">
        <f t="shared" si="0"/>
        <v>-0.33333333333333331</v>
      </c>
      <c r="O16" s="46">
        <f t="shared" si="0"/>
        <v>-0.37499999999999994</v>
      </c>
    </row>
    <row r="17" spans="2:15" ht="20" customHeight="1" x14ac:dyDescent="0.2">
      <c r="B17" s="45">
        <v>0.55000000000000004</v>
      </c>
      <c r="C17" s="46">
        <f t="shared" si="0"/>
        <v>1.1999999999999997</v>
      </c>
      <c r="D17" s="46">
        <f t="shared" si="0"/>
        <v>0.83333333333333326</v>
      </c>
      <c r="E17" s="46">
        <f t="shared" si="0"/>
        <v>0.5714285714285714</v>
      </c>
      <c r="F17" s="46">
        <f t="shared" si="0"/>
        <v>0.37499999999999994</v>
      </c>
      <c r="G17" s="46">
        <f t="shared" si="0"/>
        <v>0.22222222222222221</v>
      </c>
      <c r="H17" s="46">
        <f t="shared" si="0"/>
        <v>0.1</v>
      </c>
      <c r="I17" s="46">
        <f t="shared" si="0"/>
        <v>0</v>
      </c>
      <c r="J17" s="46">
        <f t="shared" si="0"/>
        <v>-8.3333333333333329E-2</v>
      </c>
      <c r="K17" s="46">
        <f t="shared" si="0"/>
        <v>-0.15384615384615385</v>
      </c>
      <c r="L17" s="46">
        <f t="shared" si="0"/>
        <v>-0.21428571428571425</v>
      </c>
      <c r="M17" s="46">
        <f t="shared" si="0"/>
        <v>-0.26666666666666666</v>
      </c>
      <c r="N17" s="46">
        <f t="shared" si="0"/>
        <v>-0.3125</v>
      </c>
      <c r="O17" s="46">
        <f t="shared" si="0"/>
        <v>-0.3529411764705882</v>
      </c>
    </row>
    <row r="18" spans="2:15" ht="20" customHeight="1" x14ac:dyDescent="0.2">
      <c r="B18" s="45">
        <v>0.6</v>
      </c>
      <c r="C18" s="46">
        <f t="shared" si="0"/>
        <v>1</v>
      </c>
      <c r="D18" s="46">
        <f t="shared" si="0"/>
        <v>0.7142857142857143</v>
      </c>
      <c r="E18" s="46">
        <f t="shared" si="0"/>
        <v>0.50000000000000011</v>
      </c>
      <c r="F18" s="46">
        <f t="shared" si="0"/>
        <v>0.33333333333333337</v>
      </c>
      <c r="G18" s="46">
        <f t="shared" si="0"/>
        <v>0.2</v>
      </c>
      <c r="H18" s="46">
        <f t="shared" si="0"/>
        <v>9.0909090909090925E-2</v>
      </c>
      <c r="I18" s="46">
        <f t="shared" si="0"/>
        <v>0</v>
      </c>
      <c r="J18" s="46">
        <f t="shared" si="0"/>
        <v>-7.6923076923076927E-2</v>
      </c>
      <c r="K18" s="46">
        <f t="shared" si="0"/>
        <v>-0.14285714285714288</v>
      </c>
      <c r="L18" s="46">
        <f t="shared" si="0"/>
        <v>-0.19999999999999998</v>
      </c>
      <c r="M18" s="46">
        <f t="shared" si="0"/>
        <v>-0.25</v>
      </c>
      <c r="N18" s="46">
        <f t="shared" si="0"/>
        <v>-0.29411764705882354</v>
      </c>
      <c r="O18" s="46">
        <f t="shared" si="0"/>
        <v>-0.33333333333333337</v>
      </c>
    </row>
    <row r="19" spans="2:15" ht="20" customHeight="1" x14ac:dyDescent="0.2">
      <c r="B19" s="45">
        <v>0.65</v>
      </c>
      <c r="C19" s="46">
        <f t="shared" si="0"/>
        <v>0.85714285714285698</v>
      </c>
      <c r="D19" s="46">
        <f t="shared" si="0"/>
        <v>0.625</v>
      </c>
      <c r="E19" s="46">
        <f t="shared" si="0"/>
        <v>0.44444444444444448</v>
      </c>
      <c r="F19" s="46">
        <f t="shared" si="0"/>
        <v>0.3</v>
      </c>
      <c r="G19" s="46">
        <f t="shared" si="0"/>
        <v>0.18181818181818182</v>
      </c>
      <c r="H19" s="46">
        <f t="shared" si="0"/>
        <v>8.3333333333333343E-2</v>
      </c>
      <c r="I19" s="46">
        <f t="shared" si="0"/>
        <v>0</v>
      </c>
      <c r="J19" s="46">
        <f t="shared" si="0"/>
        <v>-7.1428571428571425E-2</v>
      </c>
      <c r="K19" s="46">
        <f t="shared" si="0"/>
        <v>-0.13333333333333333</v>
      </c>
      <c r="L19" s="46">
        <f t="shared" si="0"/>
        <v>-0.18749999999999997</v>
      </c>
      <c r="M19" s="46">
        <f t="shared" si="0"/>
        <v>-0.23529411764705882</v>
      </c>
      <c r="N19" s="46">
        <f t="shared" si="0"/>
        <v>-0.27777777777777779</v>
      </c>
      <c r="O19" s="46">
        <f t="shared" si="0"/>
        <v>-0.31578947368421051</v>
      </c>
    </row>
    <row r="20" spans="2:15" ht="20" customHeight="1" x14ac:dyDescent="0.2">
      <c r="B20" s="45">
        <v>0.7</v>
      </c>
      <c r="C20" s="46">
        <f t="shared" si="0"/>
        <v>0.75</v>
      </c>
      <c r="D20" s="46">
        <f t="shared" si="0"/>
        <v>0.55555555555555558</v>
      </c>
      <c r="E20" s="46">
        <f t="shared" si="0"/>
        <v>0.40000000000000008</v>
      </c>
      <c r="F20" s="46">
        <f t="shared" si="0"/>
        <v>0.27272727272727276</v>
      </c>
      <c r="G20" s="46">
        <f t="shared" si="0"/>
        <v>0.16666666666666669</v>
      </c>
      <c r="H20" s="46">
        <f t="shared" si="0"/>
        <v>7.6923076923076941E-2</v>
      </c>
      <c r="I20" s="46">
        <f t="shared" si="0"/>
        <v>0</v>
      </c>
      <c r="J20" s="46">
        <f t="shared" si="0"/>
        <v>-6.6666666666666666E-2</v>
      </c>
      <c r="K20" s="46">
        <f t="shared" si="0"/>
        <v>-0.12500000000000003</v>
      </c>
      <c r="L20" s="46">
        <f t="shared" si="0"/>
        <v>-0.17647058823529413</v>
      </c>
      <c r="M20" s="46">
        <f t="shared" si="0"/>
        <v>-0.22222222222222227</v>
      </c>
      <c r="N20" s="46">
        <f t="shared" si="0"/>
        <v>-0.26315789473684209</v>
      </c>
      <c r="O20" s="46">
        <f t="shared" si="0"/>
        <v>-0.3</v>
      </c>
    </row>
    <row r="22" spans="2:15" ht="14" x14ac:dyDescent="0.2">
      <c r="B22" s="38" t="s">
        <v>108</v>
      </c>
    </row>
    <row r="23" spans="2:15" ht="14" x14ac:dyDescent="0.2">
      <c r="B23" s="38" t="s">
        <v>109</v>
      </c>
    </row>
  </sheetData>
  <mergeCells count="2">
    <mergeCell ref="E6:O6"/>
    <mergeCell ref="E5:O5"/>
  </mergeCells>
  <conditionalFormatting sqref="C10:O20">
    <cfRule type="colorScale" priority="1">
      <colorScale>
        <cfvo type="percentile" val="5"/>
        <cfvo type="num" val="0"/>
        <cfvo type="percentile" val="95"/>
        <color rgb="FFCFE6D6"/>
        <color rgb="FFFFFFFF"/>
        <color rgb="FFF2C7C7"/>
      </colorScale>
    </cfRule>
    <cfRule type="expression" dxfId="8" priority="2">
      <formula>ISTEXT(C10)</formula>
    </cfRule>
    <cfRule type="expression" dxfId="7" priority="3">
      <formula>ABS($B10-$C$5)&lt;0.025</formula>
    </cfRule>
  </conditionalFormatting>
  <printOptions horizontalCentered="1"/>
  <pageMargins left="0.45" right="0.45" top="0.75" bottom="0.65" header="0.3" footer="0.3"/>
  <pageSetup paperSize="9" orientation="landscape"/>
  <headerFooter>
    <oddHeader>&amp;L&amp;8 &amp;K5F6673Price Increase Calculator&amp;R&amp;8 &amp;K5F6673Ivanka Menken, Strategic Mentor</oddHeader>
    <oddFooter>&amp;L&amp;8 &amp;K5F6673https://ivankamenken.com&amp;C&amp;8 &amp;K5F6673Page &amp;P of &amp;N&amp;R&amp;8 &amp;K5F6673&amp;A</oddFooter>
    <evenHeader>&amp;L&amp;8 &amp;K5F6673Price Increase Calculator&amp;R&amp;8 &amp;K5F6673Ivanka Menken, Strategic Mentor</evenHeader>
    <evenFooter>&amp;L&amp;8 &amp;K5F6673https://ivankamenken.com&amp;C&amp;8 &amp;K5F6673Page &amp;P of &amp;N&amp;R&amp;8 &amp;K5F6673&amp;A</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919C"/>
    <pageSetUpPr fitToPage="1"/>
  </sheetPr>
  <dimension ref="B1:F72"/>
  <sheetViews>
    <sheetView showGridLines="0" workbookViewId="0"/>
  </sheetViews>
  <sheetFormatPr baseColWidth="10" defaultColWidth="9" defaultRowHeight="18" customHeight="1" x14ac:dyDescent="0.2"/>
  <cols>
    <col min="1" max="1" width="2.3984375" customWidth="1"/>
    <col min="2" max="2" width="52" customWidth="1"/>
    <col min="3" max="3" width="2" customWidth="1"/>
    <col min="4" max="4" width="16" customWidth="1"/>
    <col min="5" max="5" width="2" customWidth="1"/>
    <col min="6" max="6" width="66" customWidth="1"/>
    <col min="7" max="7" width="2.3984375" customWidth="1"/>
  </cols>
  <sheetData>
    <row r="1" spans="2:6" ht="10" customHeight="1" x14ac:dyDescent="0.2"/>
    <row r="2" spans="2:6" ht="34" customHeight="1" x14ac:dyDescent="0.35">
      <c r="B2" s="26" t="s">
        <v>34</v>
      </c>
    </row>
    <row r="3" spans="2:6" ht="20" customHeight="1" x14ac:dyDescent="0.2">
      <c r="B3" s="27" t="s">
        <v>110</v>
      </c>
      <c r="C3" s="28"/>
      <c r="D3" s="28"/>
      <c r="E3" s="28"/>
      <c r="F3" s="28"/>
    </row>
    <row r="5" spans="2:6" ht="22" customHeight="1" x14ac:dyDescent="0.2">
      <c r="B5" s="9" t="s">
        <v>111</v>
      </c>
      <c r="C5" s="1"/>
      <c r="D5" s="1"/>
      <c r="E5" s="1"/>
      <c r="F5" s="1"/>
    </row>
    <row r="6" spans="2:6" ht="20" customHeight="1" x14ac:dyDescent="0.2">
      <c r="B6" s="30" t="s">
        <v>112</v>
      </c>
      <c r="D6" s="47">
        <f>IF(Inputs!$D$10="Gross margin %",Inputs!$D$9*(1-Inputs!$D$12),Inputs!$D$11)</f>
        <v>720</v>
      </c>
      <c r="F6" s="42" t="s">
        <v>113</v>
      </c>
    </row>
    <row r="7" spans="2:6" ht="20" customHeight="1" x14ac:dyDescent="0.2">
      <c r="B7" s="30" t="s">
        <v>114</v>
      </c>
      <c r="D7" s="47">
        <f>Inputs!$D$9-D6</f>
        <v>480</v>
      </c>
      <c r="F7" s="42" t="s">
        <v>115</v>
      </c>
    </row>
    <row r="8" spans="2:6" ht="20" customHeight="1" x14ac:dyDescent="0.2">
      <c r="B8" s="30" t="s">
        <v>107</v>
      </c>
      <c r="D8" s="48">
        <f>IF(Inputs!$D$9&gt;0,D7/Inputs!$D$9,0)</f>
        <v>0.4</v>
      </c>
      <c r="F8" s="42" t="s">
        <v>116</v>
      </c>
    </row>
    <row r="9" spans="2:6" ht="20" customHeight="1" x14ac:dyDescent="0.2">
      <c r="B9" s="30" t="s">
        <v>117</v>
      </c>
      <c r="D9" s="49">
        <f>Inputs!$D$9*Inputs!$D$13</f>
        <v>60000</v>
      </c>
      <c r="F9" s="42" t="s">
        <v>118</v>
      </c>
    </row>
    <row r="10" spans="2:6" ht="20" customHeight="1" x14ac:dyDescent="0.2">
      <c r="B10" s="50" t="s">
        <v>119</v>
      </c>
      <c r="D10" s="51">
        <f>Inputs!$D$13*D7</f>
        <v>24000</v>
      </c>
      <c r="F10" s="42" t="s">
        <v>120</v>
      </c>
    </row>
    <row r="12" spans="2:6" ht="22" customHeight="1" x14ac:dyDescent="0.2">
      <c r="B12" s="9" t="s">
        <v>121</v>
      </c>
      <c r="C12" s="1"/>
      <c r="D12" s="1"/>
      <c r="E12" s="1"/>
      <c r="F12" s="1"/>
    </row>
    <row r="13" spans="2:6" ht="20" customHeight="1" x14ac:dyDescent="0.2">
      <c r="B13" s="30" t="s">
        <v>122</v>
      </c>
      <c r="D13" s="47">
        <f>Inputs!$D$9*(1+Inputs!$D$16)</f>
        <v>1320</v>
      </c>
      <c r="F13" s="42" t="s">
        <v>123</v>
      </c>
    </row>
    <row r="14" spans="2:6" ht="20" customHeight="1" x14ac:dyDescent="0.2">
      <c r="B14" s="30" t="s">
        <v>124</v>
      </c>
      <c r="D14" s="47">
        <f>D13-D6</f>
        <v>600</v>
      </c>
      <c r="F14" s="42" t="s">
        <v>125</v>
      </c>
    </row>
    <row r="15" spans="2:6" ht="20" customHeight="1" x14ac:dyDescent="0.2">
      <c r="B15" s="30" t="s">
        <v>126</v>
      </c>
      <c r="D15" s="48">
        <f>IF(D13&gt;0,D14/D13,0)</f>
        <v>0.45454545454545453</v>
      </c>
      <c r="F15" s="42" t="s">
        <v>127</v>
      </c>
    </row>
    <row r="16" spans="2:6" ht="20" customHeight="1" x14ac:dyDescent="0.2">
      <c r="B16" s="50" t="s">
        <v>128</v>
      </c>
      <c r="D16" s="52">
        <f>IF(D14&gt;0,D10/D14,0)</f>
        <v>40</v>
      </c>
      <c r="F16" s="42" t="s">
        <v>129</v>
      </c>
    </row>
    <row r="17" spans="2:6" ht="20" customHeight="1" x14ac:dyDescent="0.2">
      <c r="B17" s="50" t="s">
        <v>130</v>
      </c>
      <c r="D17" s="52">
        <f>IF(D14&gt;0,Inputs!$D$13-D16,0)</f>
        <v>10</v>
      </c>
      <c r="F17" s="42" t="s">
        <v>131</v>
      </c>
    </row>
    <row r="18" spans="2:6" ht="20" customHeight="1" x14ac:dyDescent="0.2">
      <c r="B18" s="50" t="s">
        <v>132</v>
      </c>
      <c r="D18" s="41">
        <f>IF(Inputs!$D$13&gt;0,D17/Inputs!$D$13,0)</f>
        <v>0.2</v>
      </c>
      <c r="F18" s="42" t="s">
        <v>133</v>
      </c>
    </row>
    <row r="19" spans="2:6" ht="20" customHeight="1" x14ac:dyDescent="0.2">
      <c r="B19" s="30" t="s">
        <v>134</v>
      </c>
      <c r="D19" s="53">
        <f>INT(D17)</f>
        <v>10</v>
      </c>
      <c r="F19" s="42" t="s">
        <v>135</v>
      </c>
    </row>
    <row r="20" spans="2:6" ht="20" customHeight="1" x14ac:dyDescent="0.2">
      <c r="B20" s="30" t="s">
        <v>136</v>
      </c>
      <c r="D20" s="49">
        <f>D16*D13</f>
        <v>52800</v>
      </c>
      <c r="F20" s="42" t="s">
        <v>137</v>
      </c>
    </row>
    <row r="22" spans="2:6" ht="22" customHeight="1" x14ac:dyDescent="0.2">
      <c r="B22" s="9" t="s">
        <v>138</v>
      </c>
      <c r="C22" s="1"/>
      <c r="D22" s="1"/>
      <c r="E22" s="1"/>
      <c r="F22" s="1"/>
    </row>
    <row r="23" spans="2:6" ht="20" customHeight="1" x14ac:dyDescent="0.2">
      <c r="B23" s="30" t="s">
        <v>139</v>
      </c>
      <c r="D23" s="54">
        <f>Inputs!$D$13*(1-Inputs!$D$18)</f>
        <v>47.5</v>
      </c>
      <c r="F23" s="42" t="s">
        <v>140</v>
      </c>
    </row>
    <row r="24" spans="2:6" ht="20" customHeight="1" x14ac:dyDescent="0.2">
      <c r="B24" s="30" t="s">
        <v>141</v>
      </c>
      <c r="D24" s="49">
        <f>D23*D14</f>
        <v>28500</v>
      </c>
      <c r="F24" s="42" t="s">
        <v>142</v>
      </c>
    </row>
    <row r="25" spans="2:6" ht="20" customHeight="1" x14ac:dyDescent="0.2">
      <c r="B25" s="50" t="s">
        <v>143</v>
      </c>
      <c r="D25" s="51">
        <f>D24-D10</f>
        <v>4500</v>
      </c>
      <c r="F25" s="42" t="s">
        <v>144</v>
      </c>
    </row>
    <row r="26" spans="2:6" ht="20" customHeight="1" x14ac:dyDescent="0.2">
      <c r="B26" s="30" t="s">
        <v>145</v>
      </c>
      <c r="D26" s="49">
        <f>D23*D13</f>
        <v>62700</v>
      </c>
      <c r="F26" s="42" t="s">
        <v>146</v>
      </c>
    </row>
    <row r="28" spans="2:6" ht="22" customHeight="1" x14ac:dyDescent="0.2">
      <c r="B28" s="9" t="s">
        <v>147</v>
      </c>
      <c r="C28" s="1"/>
      <c r="D28" s="1"/>
      <c r="E28" s="1"/>
      <c r="F28" s="1"/>
    </row>
    <row r="29" spans="2:6" ht="20" customHeight="1" x14ac:dyDescent="0.2">
      <c r="B29" s="30" t="s">
        <v>148</v>
      </c>
      <c r="D29" s="47">
        <f>Inputs!$D$9*(1-Inputs!$D$17)</f>
        <v>1080</v>
      </c>
      <c r="F29" s="42" t="s">
        <v>149</v>
      </c>
    </row>
    <row r="30" spans="2:6" ht="20" customHeight="1" x14ac:dyDescent="0.2">
      <c r="B30" s="30" t="s">
        <v>150</v>
      </c>
      <c r="D30" s="47">
        <f>D29-D6</f>
        <v>360</v>
      </c>
      <c r="F30" s="42" t="s">
        <v>151</v>
      </c>
    </row>
    <row r="31" spans="2:6" ht="20" customHeight="1" x14ac:dyDescent="0.2">
      <c r="B31" s="30" t="s">
        <v>152</v>
      </c>
      <c r="D31" s="48">
        <f>IF(D29&gt;0,D30/D29,0)</f>
        <v>0.33333333333333331</v>
      </c>
      <c r="F31" s="42" t="s">
        <v>153</v>
      </c>
    </row>
    <row r="32" spans="2:6" ht="20" customHeight="1" x14ac:dyDescent="0.2">
      <c r="B32" s="50" t="s">
        <v>128</v>
      </c>
      <c r="D32" s="52">
        <f>IF(D30&gt;0,D10/D30,0)</f>
        <v>66.666666666666671</v>
      </c>
      <c r="F32" s="42" t="s">
        <v>154</v>
      </c>
    </row>
    <row r="33" spans="2:6" ht="20" customHeight="1" x14ac:dyDescent="0.2">
      <c r="B33" s="50" t="s">
        <v>155</v>
      </c>
      <c r="D33" s="52">
        <f>IF(D30&gt;0,D32-Inputs!$D$13,0)</f>
        <v>16.666666666666671</v>
      </c>
      <c r="F33" s="42" t="s">
        <v>156</v>
      </c>
    </row>
    <row r="34" spans="2:6" ht="20" customHeight="1" x14ac:dyDescent="0.2">
      <c r="B34" s="30" t="s">
        <v>132</v>
      </c>
      <c r="D34" s="48">
        <f>IF(Inputs!$D$13&gt;0,D33/Inputs!$D$13,0)</f>
        <v>0.33333333333333343</v>
      </c>
      <c r="F34" s="42" t="s">
        <v>157</v>
      </c>
    </row>
    <row r="35" spans="2:6" ht="20" customHeight="1" x14ac:dyDescent="0.2">
      <c r="B35" s="30" t="s">
        <v>158</v>
      </c>
      <c r="D35" s="49">
        <f>D32*D29</f>
        <v>72000</v>
      </c>
      <c r="F35" s="42" t="s">
        <v>159</v>
      </c>
    </row>
    <row r="36" spans="2:6" ht="20" customHeight="1" x14ac:dyDescent="0.2">
      <c r="B36" s="30" t="s">
        <v>160</v>
      </c>
      <c r="D36" s="49">
        <f>Inputs!$D$13*D30</f>
        <v>18000</v>
      </c>
      <c r="F36" s="42" t="s">
        <v>161</v>
      </c>
    </row>
    <row r="38" spans="2:6" ht="22" customHeight="1" x14ac:dyDescent="0.2">
      <c r="B38" s="9" t="s">
        <v>91</v>
      </c>
      <c r="C38" s="1"/>
      <c r="D38" s="1"/>
      <c r="E38" s="1"/>
      <c r="F38" s="1"/>
    </row>
    <row r="39" spans="2:6" ht="14" x14ac:dyDescent="0.2">
      <c r="B39" s="50" t="s">
        <v>162</v>
      </c>
      <c r="D39" s="55" t="str">
        <f>IF(D15&gt;=Inputs!$D$19,"On target",IF(D15&gt;=D8,"Watch","Below target"))</f>
        <v>On target</v>
      </c>
      <c r="F39" s="42" t="s">
        <v>163</v>
      </c>
    </row>
    <row r="41" spans="2:6" ht="22" customHeight="1" x14ac:dyDescent="0.2">
      <c r="B41" s="9" t="s">
        <v>164</v>
      </c>
      <c r="C41" s="1"/>
      <c r="D41" s="1"/>
      <c r="E41" s="1"/>
      <c r="F41" s="1"/>
    </row>
    <row r="42" spans="2:6" ht="28" x14ac:dyDescent="0.2">
      <c r="B42" s="13" t="s">
        <v>165</v>
      </c>
      <c r="D42" s="56" t="s">
        <v>166</v>
      </c>
      <c r="F42" s="13" t="s">
        <v>167</v>
      </c>
    </row>
    <row r="43" spans="2:6" ht="16" customHeight="1" x14ac:dyDescent="0.2">
      <c r="B43" s="57">
        <v>-0.3</v>
      </c>
      <c r="D43" s="58">
        <f t="shared" ref="D43:D67" si="0">IF($D$8+B43&gt;0,-B43/($D$8+B43),NA())</f>
        <v>2.9999999999999991</v>
      </c>
      <c r="F43" s="59" t="s">
        <v>165</v>
      </c>
    </row>
    <row r="44" spans="2:6" ht="16" customHeight="1" x14ac:dyDescent="0.2">
      <c r="B44" s="57">
        <v>-0.27500000000000002</v>
      </c>
      <c r="D44" s="58">
        <f t="shared" si="0"/>
        <v>2.2000000000000002</v>
      </c>
      <c r="F44" s="60">
        <f>Inputs!$D$16</f>
        <v>0.1</v>
      </c>
    </row>
    <row r="45" spans="2:6" ht="16" customHeight="1" x14ac:dyDescent="0.2">
      <c r="B45" s="57">
        <v>-0.25</v>
      </c>
      <c r="D45" s="58">
        <f t="shared" si="0"/>
        <v>1.6666666666666665</v>
      </c>
      <c r="F45" s="59" t="s">
        <v>166</v>
      </c>
    </row>
    <row r="46" spans="2:6" ht="16" customHeight="1" x14ac:dyDescent="0.2">
      <c r="B46" s="57">
        <v>-0.22500000000000001</v>
      </c>
      <c r="D46" s="58">
        <f t="shared" si="0"/>
        <v>1.2857142857142856</v>
      </c>
      <c r="F46" s="60">
        <f>IF($D$8+F44&gt;0,-F44/($D$8+F44),NA())</f>
        <v>-0.2</v>
      </c>
    </row>
    <row r="47" spans="2:6" ht="16" customHeight="1" x14ac:dyDescent="0.2">
      <c r="B47" s="57">
        <v>-0.2</v>
      </c>
      <c r="D47" s="58">
        <f t="shared" si="0"/>
        <v>1</v>
      </c>
    </row>
    <row r="48" spans="2:6" ht="16" customHeight="1" x14ac:dyDescent="0.2">
      <c r="B48" s="57">
        <v>-0.17499999999999999</v>
      </c>
      <c r="D48" s="58">
        <f t="shared" si="0"/>
        <v>0.77777777777777757</v>
      </c>
    </row>
    <row r="49" spans="2:4" ht="16" customHeight="1" x14ac:dyDescent="0.2">
      <c r="B49" s="57">
        <v>-0.15</v>
      </c>
      <c r="D49" s="58">
        <f t="shared" si="0"/>
        <v>0.6</v>
      </c>
    </row>
    <row r="50" spans="2:4" ht="16" customHeight="1" x14ac:dyDescent="0.2">
      <c r="B50" s="57">
        <v>-0.125</v>
      </c>
      <c r="D50" s="58">
        <f t="shared" si="0"/>
        <v>0.45454545454545453</v>
      </c>
    </row>
    <row r="51" spans="2:4" ht="16" customHeight="1" x14ac:dyDescent="0.2">
      <c r="B51" s="57">
        <v>-0.1</v>
      </c>
      <c r="D51" s="58">
        <f t="shared" si="0"/>
        <v>0.33333333333333331</v>
      </c>
    </row>
    <row r="52" spans="2:4" ht="16" customHeight="1" x14ac:dyDescent="0.2">
      <c r="B52" s="57">
        <v>-7.4999999999999997E-2</v>
      </c>
      <c r="D52" s="58">
        <f t="shared" si="0"/>
        <v>0.23076923076923075</v>
      </c>
    </row>
    <row r="53" spans="2:4" ht="16" customHeight="1" x14ac:dyDescent="0.2">
      <c r="B53" s="57">
        <v>-0.05</v>
      </c>
      <c r="D53" s="58">
        <f t="shared" si="0"/>
        <v>0.14285714285714285</v>
      </c>
    </row>
    <row r="54" spans="2:4" ht="16" customHeight="1" x14ac:dyDescent="0.2">
      <c r="B54" s="57">
        <v>-2.5000000000000001E-2</v>
      </c>
      <c r="D54" s="58">
        <f t="shared" si="0"/>
        <v>6.6666666666666666E-2</v>
      </c>
    </row>
    <row r="55" spans="2:4" ht="16" customHeight="1" x14ac:dyDescent="0.2">
      <c r="B55" s="57">
        <v>0</v>
      </c>
      <c r="D55" s="58">
        <f t="shared" si="0"/>
        <v>0</v>
      </c>
    </row>
    <row r="56" spans="2:4" ht="16" customHeight="1" x14ac:dyDescent="0.2">
      <c r="B56" s="57">
        <v>2.5000000000000001E-2</v>
      </c>
      <c r="D56" s="58">
        <f t="shared" si="0"/>
        <v>-5.8823529411764705E-2</v>
      </c>
    </row>
    <row r="57" spans="2:4" ht="16" customHeight="1" x14ac:dyDescent="0.2">
      <c r="B57" s="57">
        <v>0.05</v>
      </c>
      <c r="D57" s="58">
        <f t="shared" si="0"/>
        <v>-0.11111111111111112</v>
      </c>
    </row>
    <row r="58" spans="2:4" ht="16" customHeight="1" x14ac:dyDescent="0.2">
      <c r="B58" s="57">
        <v>7.4999999999999997E-2</v>
      </c>
      <c r="D58" s="58">
        <f t="shared" si="0"/>
        <v>-0.15789473684210525</v>
      </c>
    </row>
    <row r="59" spans="2:4" ht="16" customHeight="1" x14ac:dyDescent="0.2">
      <c r="B59" s="57">
        <v>0.1</v>
      </c>
      <c r="D59" s="58">
        <f t="shared" si="0"/>
        <v>-0.2</v>
      </c>
    </row>
    <row r="60" spans="2:4" ht="16" customHeight="1" x14ac:dyDescent="0.2">
      <c r="B60" s="57">
        <v>0.125</v>
      </c>
      <c r="D60" s="58">
        <f t="shared" si="0"/>
        <v>-0.23809523809523808</v>
      </c>
    </row>
    <row r="61" spans="2:4" ht="16" customHeight="1" x14ac:dyDescent="0.2">
      <c r="B61" s="57">
        <v>0.15</v>
      </c>
      <c r="D61" s="58">
        <f t="shared" si="0"/>
        <v>-0.27272727272727271</v>
      </c>
    </row>
    <row r="62" spans="2:4" ht="16" customHeight="1" x14ac:dyDescent="0.2">
      <c r="B62" s="57">
        <v>0.17499999999999999</v>
      </c>
      <c r="D62" s="58">
        <f t="shared" si="0"/>
        <v>-0.30434782608695654</v>
      </c>
    </row>
    <row r="63" spans="2:4" ht="16" customHeight="1" x14ac:dyDescent="0.2">
      <c r="B63" s="57">
        <v>0.2</v>
      </c>
      <c r="D63" s="58">
        <f t="shared" si="0"/>
        <v>-0.33333333333333331</v>
      </c>
    </row>
    <row r="64" spans="2:4" ht="16" customHeight="1" x14ac:dyDescent="0.2">
      <c r="B64" s="57">
        <v>0.22500000000000001</v>
      </c>
      <c r="D64" s="58">
        <f t="shared" si="0"/>
        <v>-0.36</v>
      </c>
    </row>
    <row r="65" spans="2:6" ht="16" customHeight="1" x14ac:dyDescent="0.2">
      <c r="B65" s="57">
        <v>0.25</v>
      </c>
      <c r="D65" s="58">
        <f t="shared" si="0"/>
        <v>-0.38461538461538458</v>
      </c>
    </row>
    <row r="66" spans="2:6" ht="16" customHeight="1" x14ac:dyDescent="0.2">
      <c r="B66" s="57">
        <v>0.27500000000000002</v>
      </c>
      <c r="D66" s="58">
        <f t="shared" si="0"/>
        <v>-0.40740740740740744</v>
      </c>
    </row>
    <row r="67" spans="2:6" ht="16" customHeight="1" x14ac:dyDescent="0.2">
      <c r="B67" s="57">
        <v>0.3</v>
      </c>
      <c r="D67" s="58">
        <f t="shared" si="0"/>
        <v>-0.4285714285714286</v>
      </c>
    </row>
    <row r="69" spans="2:6" ht="22" customHeight="1" x14ac:dyDescent="0.2">
      <c r="B69" s="9" t="s">
        <v>168</v>
      </c>
      <c r="C69" s="1"/>
      <c r="D69" s="1"/>
      <c r="E69" s="1"/>
      <c r="F69" s="1"/>
    </row>
    <row r="70" spans="2:6" ht="14" x14ac:dyDescent="0.2">
      <c r="B70" s="30" t="s">
        <v>169</v>
      </c>
      <c r="D70" s="49">
        <f>D10</f>
        <v>24000</v>
      </c>
      <c r="F70" s="61" t="str">
        <f>"Today"</f>
        <v>Today</v>
      </c>
    </row>
    <row r="71" spans="2:6" ht="14" x14ac:dyDescent="0.2">
      <c r="B71" s="30" t="s">
        <v>170</v>
      </c>
      <c r="D71" s="49">
        <f>D24</f>
        <v>28500</v>
      </c>
      <c r="F71" s="61" t="str">
        <f>"After the change"</f>
        <v>After the change</v>
      </c>
    </row>
    <row r="72" spans="2:6" ht="14" x14ac:dyDescent="0.2">
      <c r="B72" s="30" t="s">
        <v>171</v>
      </c>
      <c r="D72" s="49">
        <f>D36</f>
        <v>18000</v>
      </c>
      <c r="F72" s="61" t="str">
        <f>"After the discount"</f>
        <v>After the discount</v>
      </c>
    </row>
  </sheetData>
  <conditionalFormatting sqref="D39">
    <cfRule type="cellIs" dxfId="6" priority="1" operator="equal">
      <formula>"On target"</formula>
    </cfRule>
    <cfRule type="cellIs" dxfId="5" priority="2" operator="equal">
      <formula>"Watch"</formula>
    </cfRule>
    <cfRule type="cellIs" dxfId="4" priority="3" operator="equal">
      <formula>"Below target"</formula>
    </cfRule>
  </conditionalFormatting>
  <printOptions horizontalCentered="1"/>
  <pageMargins left="0.45" right="0.45" top="0.75" bottom="0.65" header="0.3" footer="0.3"/>
  <pageSetup paperSize="9" fitToHeight="2" orientation="landscape"/>
  <headerFooter>
    <oddHeader>&amp;L&amp;8 &amp;K5F6673Price Increase Calculator&amp;R&amp;8 &amp;K5F6673Ivanka Menken, Strategic Mentor</oddHeader>
    <oddFooter>&amp;L&amp;8 &amp;K5F6673https://ivankamenken.com&amp;C&amp;8 &amp;K5F6673Page &amp;P of &amp;N&amp;R&amp;8 &amp;K5F6673&amp;A</oddFooter>
    <evenHeader>&amp;L&amp;8 &amp;K5F6673Price Increase Calculator&amp;R&amp;8 &amp;K5F6673Ivanka Menken, Strategic Mentor</evenHeader>
    <evenFooter>&amp;L&amp;8 &amp;K5F6673https://ivankamenken.com&amp;C&amp;8 &amp;K5F6673Page &amp;P of &amp;N&amp;R&amp;8 &amp;K5F6673&amp;A</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7D4F"/>
    <pageSetUpPr fitToPage="1"/>
  </sheetPr>
  <dimension ref="B1:E21"/>
  <sheetViews>
    <sheetView showGridLines="0" workbookViewId="0">
      <pane ySplit="7" topLeftCell="A8" activePane="bottomLeft" state="frozen"/>
      <selection pane="bottomLeft"/>
    </sheetView>
  </sheetViews>
  <sheetFormatPr baseColWidth="10" defaultColWidth="9" defaultRowHeight="18" customHeight="1" x14ac:dyDescent="0.2"/>
  <cols>
    <col min="1" max="1" width="2.3984375" customWidth="1"/>
    <col min="2" max="2" width="6" customWidth="1"/>
    <col min="3" max="3" width="52" customWidth="1"/>
    <col min="4" max="4" width="12" customWidth="1"/>
    <col min="5" max="5" width="74" customWidth="1"/>
    <col min="6" max="6" width="3" customWidth="1"/>
  </cols>
  <sheetData>
    <row r="1" spans="2:5" ht="10" customHeight="1" x14ac:dyDescent="0.2"/>
    <row r="2" spans="2:5" ht="34" customHeight="1" x14ac:dyDescent="0.35">
      <c r="B2" s="26" t="s">
        <v>36</v>
      </c>
    </row>
    <row r="3" spans="2:5" ht="20" customHeight="1" x14ac:dyDescent="0.2">
      <c r="B3" s="27" t="s">
        <v>172</v>
      </c>
      <c r="C3" s="28"/>
      <c r="D3" s="28"/>
      <c r="E3" s="28"/>
    </row>
    <row r="5" spans="2:5" ht="14" x14ac:dyDescent="0.2">
      <c r="C5" s="62" t="s">
        <v>173</v>
      </c>
      <c r="D5" s="63">
        <f>COUNTIF(D8:D21,"Fix")</f>
        <v>0</v>
      </c>
      <c r="E5" s="64" t="str">
        <f>IF(D5=0,"All checks pass","Fix the rows marked Fix")</f>
        <v>All checks pass</v>
      </c>
    </row>
    <row r="6" spans="2:5" ht="14" x14ac:dyDescent="0.2">
      <c r="C6" s="7" t="s">
        <v>174</v>
      </c>
      <c r="D6" s="53">
        <f>COUNTA(C8:C21)</f>
        <v>14</v>
      </c>
    </row>
    <row r="7" spans="2:5" ht="22" customHeight="1" x14ac:dyDescent="0.2">
      <c r="B7" s="65" t="s">
        <v>175</v>
      </c>
      <c r="C7" s="13" t="s">
        <v>176</v>
      </c>
      <c r="D7" s="65" t="s">
        <v>177</v>
      </c>
      <c r="E7" s="13" t="s">
        <v>178</v>
      </c>
    </row>
    <row r="8" spans="2:5" ht="30" customHeight="1" x14ac:dyDescent="0.2">
      <c r="B8" s="66">
        <v>1</v>
      </c>
      <c r="C8" s="11" t="s">
        <v>179</v>
      </c>
      <c r="D8" s="55" t="str">
        <f>IF(AND(ISNUMBER(Inputs!$D$9),Inputs!$D$9&gt;0),"Pass","Fix")</f>
        <v>Pass</v>
      </c>
      <c r="E8" s="67" t="s">
        <v>180</v>
      </c>
    </row>
    <row r="9" spans="2:5" ht="30" customHeight="1" x14ac:dyDescent="0.2">
      <c r="B9" s="66">
        <v>2</v>
      </c>
      <c r="C9" s="11" t="s">
        <v>181</v>
      </c>
      <c r="D9" s="55" t="str">
        <f>IF(LEN(Inputs!$D$8)&gt;0,"Pass","Fix")</f>
        <v>Pass</v>
      </c>
      <c r="E9" s="67" t="s">
        <v>182</v>
      </c>
    </row>
    <row r="10" spans="2:5" ht="30" customHeight="1" x14ac:dyDescent="0.2">
      <c r="B10" s="66">
        <v>3</v>
      </c>
      <c r="C10" s="11" t="s">
        <v>183</v>
      </c>
      <c r="D10" s="55" t="str">
        <f>IF(OR(Inputs!$D$10="Unit cost",Inputs!$D$10="Gross margin %"),"Pass","Fix")</f>
        <v>Pass</v>
      </c>
      <c r="E10" s="67" t="s">
        <v>184</v>
      </c>
    </row>
    <row r="11" spans="2:5" ht="30" customHeight="1" x14ac:dyDescent="0.2">
      <c r="B11" s="66">
        <v>4</v>
      </c>
      <c r="C11" s="11" t="s">
        <v>185</v>
      </c>
      <c r="D11" s="55" t="str">
        <f>IF(OR(Inputs!$D$10&lt;&gt;"Unit cost",ISNUMBER(Inputs!$D$11)),"Pass","Fix")</f>
        <v>Pass</v>
      </c>
      <c r="E11" s="67" t="s">
        <v>186</v>
      </c>
    </row>
    <row r="12" spans="2:5" ht="30" customHeight="1" x14ac:dyDescent="0.2">
      <c r="B12" s="66">
        <v>5</v>
      </c>
      <c r="C12" s="11" t="s">
        <v>187</v>
      </c>
      <c r="D12" s="55" t="str">
        <f>IF(OR(Inputs!$D$10&lt;&gt;"Gross margin %",ISNUMBER(Inputs!$D$12)),"Pass","Fix")</f>
        <v>Pass</v>
      </c>
      <c r="E12" s="67" t="s">
        <v>188</v>
      </c>
    </row>
    <row r="13" spans="2:5" ht="30" customHeight="1" x14ac:dyDescent="0.2">
      <c r="B13" s="66">
        <v>6</v>
      </c>
      <c r="C13" s="11" t="s">
        <v>189</v>
      </c>
      <c r="D13" s="55" t="str">
        <f>IF(Calculations!$D$7&gt;0,"Pass","Fix")</f>
        <v>Pass</v>
      </c>
      <c r="E13" s="67" t="s">
        <v>190</v>
      </c>
    </row>
    <row r="14" spans="2:5" ht="30" customHeight="1" x14ac:dyDescent="0.2">
      <c r="B14" s="66">
        <v>7</v>
      </c>
      <c r="C14" s="11" t="s">
        <v>191</v>
      </c>
      <c r="D14" s="55" t="str">
        <f>IF(AND(Calculations!$D$8&gt;0,Calculations!$D$8&lt;1),"Pass","Fix")</f>
        <v>Pass</v>
      </c>
      <c r="E14" s="67" t="s">
        <v>192</v>
      </c>
    </row>
    <row r="15" spans="2:5" ht="30" customHeight="1" x14ac:dyDescent="0.2">
      <c r="B15" s="66">
        <v>8</v>
      </c>
      <c r="C15" s="11" t="s">
        <v>193</v>
      </c>
      <c r="D15" s="55" t="str">
        <f>IF(AND(ISNUMBER(Inputs!$D$13),Inputs!$D$13&gt;0),"Pass","Fix")</f>
        <v>Pass</v>
      </c>
      <c r="E15" s="67" t="s">
        <v>194</v>
      </c>
    </row>
    <row r="16" spans="2:5" ht="30" customHeight="1" x14ac:dyDescent="0.2">
      <c r="B16" s="66">
        <v>9</v>
      </c>
      <c r="C16" s="11" t="s">
        <v>195</v>
      </c>
      <c r="D16" s="55" t="str">
        <f>IF(AND(ISNUMBER(Inputs!$D$16),Inputs!$D$16&gt;-0.9,Inputs!$D$16&lt;=2),"Pass","Fix")</f>
        <v>Pass</v>
      </c>
      <c r="E16" s="67" t="s">
        <v>196</v>
      </c>
    </row>
    <row r="17" spans="2:5" ht="30" customHeight="1" x14ac:dyDescent="0.2">
      <c r="B17" s="66">
        <v>10</v>
      </c>
      <c r="C17" s="11" t="s">
        <v>197</v>
      </c>
      <c r="D17" s="55" t="str">
        <f>IF(Calculations!$D$14&gt;0,"Pass","Fix")</f>
        <v>Pass</v>
      </c>
      <c r="E17" s="67" t="s">
        <v>198</v>
      </c>
    </row>
    <row r="18" spans="2:5" ht="30" customHeight="1" x14ac:dyDescent="0.2">
      <c r="B18" s="66">
        <v>11</v>
      </c>
      <c r="C18" s="11" t="s">
        <v>199</v>
      </c>
      <c r="D18" s="55" t="str">
        <f>IF(Calculations!$D$30&gt;0,"Pass","Fix")</f>
        <v>Pass</v>
      </c>
      <c r="E18" s="67" t="s">
        <v>200</v>
      </c>
    </row>
    <row r="19" spans="2:5" ht="30" customHeight="1" x14ac:dyDescent="0.2">
      <c r="B19" s="66">
        <v>12</v>
      </c>
      <c r="C19" s="11" t="s">
        <v>201</v>
      </c>
      <c r="D19" s="55" t="str">
        <f>IF(AND(ISNUMBER(Inputs!$D$18),Inputs!$D$18&gt;=0,Inputs!$D$18&lt;=1),"Pass","Fix")</f>
        <v>Pass</v>
      </c>
      <c r="E19" s="67" t="s">
        <v>202</v>
      </c>
    </row>
    <row r="20" spans="2:5" ht="30" customHeight="1" x14ac:dyDescent="0.2">
      <c r="B20" s="66">
        <v>13</v>
      </c>
      <c r="C20" s="11" t="s">
        <v>203</v>
      </c>
      <c r="D20" s="55" t="str">
        <f>IF(AND(ISNUMBER(Inputs!$D$19),Inputs!$D$19&gt;0,Inputs!$D$19&lt;1),"Pass","Fix")</f>
        <v>Pass</v>
      </c>
      <c r="E20" s="67" t="s">
        <v>204</v>
      </c>
    </row>
    <row r="21" spans="2:5" ht="30" customHeight="1" x14ac:dyDescent="0.2">
      <c r="B21" s="66">
        <v>14</v>
      </c>
      <c r="C21" s="11" t="s">
        <v>205</v>
      </c>
      <c r="D21" s="55" t="str">
        <f>IF(ABS(Calculations!$D$16*Calculations!$D$14-Calculations!$D$10)&lt;0.01,"Pass","Fix")</f>
        <v>Pass</v>
      </c>
      <c r="E21" s="67" t="s">
        <v>206</v>
      </c>
    </row>
  </sheetData>
  <conditionalFormatting sqref="D8:D21">
    <cfRule type="cellIs" dxfId="3" priority="3" operator="equal">
      <formula>"Pass"</formula>
    </cfRule>
    <cfRule type="cellIs" dxfId="2" priority="4" operator="equal">
      <formula>"Fix"</formula>
    </cfRule>
  </conditionalFormatting>
  <conditionalFormatting sqref="E5">
    <cfRule type="cellIs" dxfId="1" priority="1" operator="equal">
      <formula>"All checks pass"</formula>
    </cfRule>
    <cfRule type="cellIs" dxfId="0" priority="2" operator="equal">
      <formula>"Fix the rows marked Fix"</formula>
    </cfRule>
  </conditionalFormatting>
  <printOptions horizontalCentered="1"/>
  <pageMargins left="0.45" right="0.45" top="0.75" bottom="0.65" header="0.3" footer="0.3"/>
  <pageSetup paperSize="9" orientation="landscape"/>
  <headerFooter>
    <oddHeader>&amp;L&amp;8 &amp;K5F6673Price Increase Calculator&amp;R&amp;8 &amp;K5F6673Ivanka Menken, Strategic Mentor</oddHeader>
    <oddFooter>&amp;L&amp;8 &amp;K5F6673https://ivankamenken.com&amp;C&amp;8 &amp;K5F6673Page &amp;P of &amp;N&amp;R&amp;8 &amp;K5F6673&amp;A</oddFooter>
    <evenHeader>&amp;L&amp;8 &amp;K5F6673Price Increase Calculator&amp;R&amp;8 &amp;K5F6673Ivanka Menken, Strategic Mentor</evenHeader>
    <evenFooter>&amp;L&amp;8 &amp;K5F6673https://ivankamenken.com&amp;C&amp;8 &amp;K5F6673Page &amp;P of &amp;N&amp;R&amp;8 &amp;K5F6673&amp;A</even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18</vt:i4>
      </vt:variant>
    </vt:vector>
  </HeadingPairs>
  <TitlesOfParts>
    <vt:vector size="24" baseType="lpstr">
      <vt:lpstr>Cover</vt:lpstr>
      <vt:lpstr>Inputs</vt:lpstr>
      <vt:lpstr>Dashboard</vt:lpstr>
      <vt:lpstr>Sensitivity</vt:lpstr>
      <vt:lpstr>Calculations</vt:lpstr>
      <vt:lpstr>Checks</vt:lpstr>
      <vt:lpstr>BusinessName</vt:lpstr>
      <vt:lpstr>CostMethod</vt:lpstr>
      <vt:lpstr>CurrentPrice</vt:lpstr>
      <vt:lpstr>CurrentVolume</vt:lpstr>
      <vt:lpstr>ExpectedVolumeLoss</vt:lpstr>
      <vt:lpstr>GrossMarginInput</vt:lpstr>
      <vt:lpstr>Calculations!Print_Area</vt:lpstr>
      <vt:lpstr>Checks!Print_Area</vt:lpstr>
      <vt:lpstr>Cover!Print_Area</vt:lpstr>
      <vt:lpstr>Dashboard!Print_Area</vt:lpstr>
      <vt:lpstr>Inputs!Print_Area</vt:lpstr>
      <vt:lpstr>Sensitivity!Print_Area</vt:lpstr>
      <vt:lpstr>Checks!Print_Titles</vt:lpstr>
      <vt:lpstr>ProposedDiscount</vt:lpstr>
      <vt:lpstr>ProposedPriceChange</vt:lpstr>
      <vt:lpstr>TargetGrossMargin</vt:lpstr>
      <vt:lpstr>UnitCost</vt:lpstr>
      <vt:lpstr>UnitName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Increase Calculator</dc:title>
  <dc:subject>Price increase calculator: break-even volume, the clients you could lose, the discount in reverse and a sensitivity table</dc:subject>
  <dc:creator>Ivanka Menken</dc:creator>
  <cp:keywords>price increase calculator, break-even volume, gross margin, discount, pricing, sensitivity, founders, Australia, Ivanka Menken</cp:keywords>
  <dc:description>Price, unit cost or margin and a proposed rise: the clients you could lose before gross profit falls, the discount in reverse and a two-way sensitivity table. Free template from https://ivankamenken.com/templates/price-increase-calculator</dc:description>
  <cp:lastModifiedBy>The Art of Service theartofservice.com</cp:lastModifiedBy>
  <dcterms:created xsi:type="dcterms:W3CDTF">2026-10-21T02:26:27Z</dcterms:created>
  <dcterms:modified xsi:type="dcterms:W3CDTF">2026-10-21T02:26:34Z</dcterms:modified>
  <cp:category>Free template for founders</cp:category>
</cp:coreProperties>
</file>