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administrator/Library/Containers/com.microsoft.Excel/Data/ivankamenken-templates/"/>
    </mc:Choice>
  </mc:AlternateContent>
  <xr:revisionPtr revIDLastSave="0" documentId="8_{4B0A5740-D35F-D64F-8565-FB43489068BD}" xr6:coauthVersionLast="47" xr6:coauthVersionMax="47" xr10:uidLastSave="{00000000-0000-0000-0000-000000000000}"/>
  <bookViews>
    <workbookView xWindow="0" yWindow="500" windowWidth="38400" windowHeight="19760" xr2:uid="{00000000-000D-0000-FFFF-FFFF00000000}"/>
  </bookViews>
  <sheets>
    <sheet name="Cover" sheetId="1" r:id="rId1"/>
    <sheet name="Inputs" sheetId="2" r:id="rId2"/>
    <sheet name="Dashboard" sheetId="3" r:id="rId3"/>
    <sheet name="Tracker" sheetId="4" r:id="rId4"/>
    <sheet name="Calculations" sheetId="5" r:id="rId5"/>
    <sheet name="Checks" sheetId="6" r:id="rId6"/>
  </sheets>
  <definedNames>
    <definedName name="BusinessName">Inputs!$D$7</definedName>
    <definedName name="CashInBank">Inputs!$D$8</definedName>
    <definedName name="FloorWeeks">Inputs!$D$18</definedName>
    <definedName name="GrossWagesPerRun">Inputs!$D$9</definedName>
    <definedName name="OtherMustPayWeekly">Inputs!$D$14</definedName>
    <definedName name="PayFrequency">Inputs!$D$10</definedName>
    <definedName name="PayrollTaxRate">Inputs!$D$12</definedName>
    <definedName name="_xlnm.Print_Area" localSheetId="4">Calculations!$A$1:$G$48</definedName>
    <definedName name="_xlnm.Print_Area" localSheetId="5">Checks!$A$1:$F$23</definedName>
    <definedName name="_xlnm.Print_Area" localSheetId="0">Cover!$A$1:$J$49</definedName>
    <definedName name="_xlnm.Print_Area" localSheetId="2">Dashboard!$A$1:$Q$36</definedName>
    <definedName name="_xlnm.Print_Area" localSheetId="1">Inputs!$A$1:$G$21</definedName>
    <definedName name="_xlnm.Print_Area" localSheetId="3">Tracker!$A$1:$L$22</definedName>
    <definedName name="_xlnm.Print_Titles" localSheetId="5">Checks!$7:$7</definedName>
    <definedName name="_xlnm.Print_Titles" localSheetId="3">Tracker!$7:$7</definedName>
    <definedName name="SuperGuaranteeRate">Inputs!$D$11</definedName>
    <definedName name="TargetWeeks">Inputs!$D$17</definedName>
    <definedName name="TrackerCash">Tracker!$C$8:$C$19</definedName>
    <definedName name="TrackerNotes">Tracker!$K$8:$K$19</definedName>
    <definedName name="TrackerStartMonth">Tracker!$C$5</definedName>
    <definedName name="TrackerWeeklyPayroll">Tracker!$D$8:$D$19</definedName>
    <definedName name="WorkersCompRate">Inputs!$D$13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6" l="1"/>
  <c r="D19" i="6"/>
  <c r="D18" i="6"/>
  <c r="D17" i="6"/>
  <c r="D16" i="6"/>
  <c r="D15" i="6"/>
  <c r="D14" i="6"/>
  <c r="D13" i="6"/>
  <c r="D12" i="6"/>
  <c r="D11" i="6"/>
  <c r="D10" i="6"/>
  <c r="D9" i="6"/>
  <c r="D8" i="6"/>
  <c r="D6" i="6"/>
  <c r="D44" i="5"/>
  <c r="D7" i="5"/>
  <c r="H19" i="4"/>
  <c r="G19" i="4"/>
  <c r="F19" i="4"/>
  <c r="D47" i="5" s="1"/>
  <c r="B19" i="4"/>
  <c r="B47" i="5" s="1"/>
  <c r="H18" i="4"/>
  <c r="G18" i="4"/>
  <c r="F18" i="4"/>
  <c r="D46" i="5" s="1"/>
  <c r="B18" i="4"/>
  <c r="B46" i="5" s="1"/>
  <c r="H17" i="4"/>
  <c r="G17" i="4"/>
  <c r="F17" i="4"/>
  <c r="B17" i="4"/>
  <c r="B45" i="5" s="1"/>
  <c r="H16" i="4"/>
  <c r="G16" i="4"/>
  <c r="F16" i="4"/>
  <c r="B16" i="4"/>
  <c r="B44" i="5" s="1"/>
  <c r="H15" i="4"/>
  <c r="G15" i="4"/>
  <c r="F15" i="4"/>
  <c r="D43" i="5" s="1"/>
  <c r="B15" i="4"/>
  <c r="B43" i="5" s="1"/>
  <c r="H14" i="4"/>
  <c r="G14" i="4"/>
  <c r="F14" i="4"/>
  <c r="D42" i="5" s="1"/>
  <c r="B14" i="4"/>
  <c r="B42" i="5" s="1"/>
  <c r="H13" i="4"/>
  <c r="G13" i="4"/>
  <c r="B13" i="4"/>
  <c r="B41" i="5" s="1"/>
  <c r="H12" i="4"/>
  <c r="G12" i="4"/>
  <c r="B12" i="4"/>
  <c r="B40" i="5" s="1"/>
  <c r="H11" i="4"/>
  <c r="G11" i="4"/>
  <c r="B11" i="4"/>
  <c r="B39" i="5" s="1"/>
  <c r="H10" i="4"/>
  <c r="G10" i="4"/>
  <c r="B10" i="4"/>
  <c r="B38" i="5" s="1"/>
  <c r="H9" i="4"/>
  <c r="G9" i="4"/>
  <c r="B9" i="4"/>
  <c r="B37" i="5" s="1"/>
  <c r="J8" i="4"/>
  <c r="H8" i="4"/>
  <c r="G8" i="4"/>
  <c r="B8" i="4"/>
  <c r="B36" i="5" s="1"/>
  <c r="B16" i="3"/>
  <c r="B2" i="3"/>
  <c r="D45" i="5" l="1"/>
  <c r="I17" i="4"/>
  <c r="D8" i="5"/>
  <c r="J19" i="4"/>
  <c r="I19" i="4"/>
  <c r="J18" i="4"/>
  <c r="I18" i="4"/>
  <c r="J17" i="4"/>
  <c r="J16" i="4"/>
  <c r="I16" i="4"/>
  <c r="I15" i="4"/>
  <c r="J15" i="4"/>
  <c r="I14" i="4"/>
  <c r="D9" i="5" l="1"/>
  <c r="D10" i="5" s="1"/>
  <c r="D12" i="5" s="1"/>
  <c r="D11" i="5"/>
  <c r="D16" i="5" l="1"/>
  <c r="D17" i="5" s="1"/>
  <c r="N8" i="3" s="1"/>
  <c r="D20" i="5"/>
  <c r="D21" i="5"/>
  <c r="D22" i="5" s="1"/>
  <c r="K8" i="3" s="1"/>
  <c r="D27" i="5"/>
  <c r="F27" i="5" s="1"/>
  <c r="D28" i="5"/>
  <c r="F28" i="5" s="1"/>
  <c r="D29" i="5"/>
  <c r="F29" i="5" s="1"/>
  <c r="D30" i="5"/>
  <c r="F30" i="5" s="1"/>
  <c r="D31" i="5"/>
  <c r="F31" i="5" s="1"/>
  <c r="E19" i="4"/>
  <c r="D32" i="5"/>
  <c r="F32" i="5" s="1"/>
  <c r="E8" i="3"/>
  <c r="E8" i="4"/>
  <c r="F8" i="4" s="1"/>
  <c r="E9" i="4"/>
  <c r="F9" i="4" s="1"/>
  <c r="E12" i="4"/>
  <c r="F12" i="4" s="1"/>
  <c r="E10" i="4"/>
  <c r="F10" i="4" s="1"/>
  <c r="E15" i="4"/>
  <c r="E17" i="4"/>
  <c r="E13" i="4"/>
  <c r="F13" i="4" s="1"/>
  <c r="E14" i="4"/>
  <c r="D15" i="5"/>
  <c r="D18" i="5"/>
  <c r="D19" i="5" s="1"/>
  <c r="H8" i="3" s="1"/>
  <c r="E11" i="4"/>
  <c r="F11" i="4" s="1"/>
  <c r="E16" i="4"/>
  <c r="E18" i="4"/>
  <c r="I8" i="4" l="1"/>
  <c r="D36" i="5"/>
  <c r="J9" i="4"/>
  <c r="I9" i="4"/>
  <c r="D37" i="5"/>
  <c r="J12" i="4"/>
  <c r="D40" i="5"/>
  <c r="I12" i="4"/>
  <c r="I10" i="4"/>
  <c r="D38" i="5"/>
  <c r="J10" i="4"/>
  <c r="J14" i="4"/>
  <c r="J13" i="4"/>
  <c r="I13" i="4"/>
  <c r="D41" i="5"/>
  <c r="D23" i="5"/>
  <c r="B8" i="3"/>
  <c r="D21" i="6"/>
  <c r="D5" i="6" s="1"/>
  <c r="J11" i="4"/>
  <c r="I11" i="4"/>
  <c r="D39" i="5"/>
  <c r="N9" i="3" l="1"/>
  <c r="E9" i="3"/>
  <c r="B14" i="3"/>
  <c r="H9" i="3"/>
  <c r="D13" i="1"/>
  <c r="B12" i="3"/>
  <c r="B15" i="3"/>
  <c r="B9" i="3"/>
  <c r="C5" i="3"/>
  <c r="E5" i="3" s="1"/>
  <c r="B13" i="3"/>
  <c r="E13" i="1"/>
  <c r="K9" i="3"/>
  <c r="E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Ivanka Menken</author>
  </authors>
  <commentList>
    <comment ref="B8" authorId="0" shapeId="0" xr:uid="{00000000-0006-0000-0100-000001000000}">
      <text>
        <r>
          <rPr>
            <sz val="10"/>
            <color rgb="FF1B2230"/>
            <rFont val="Aptos"/>
            <family val="2"/>
          </rPr>
          <t>Cleared funds: money that has landed and can be spent today. Leave out tomorrow's receipts and undeposited cheques.</t>
        </r>
      </text>
    </comment>
    <comment ref="B9" authorId="0" shapeId="0" xr:uid="{00000000-0006-0000-0100-000002000000}">
      <text>
        <r>
          <rPr>
            <sz val="10"/>
            <color rgb="FF1B2230"/>
            <rFont val="Aptos"/>
            <family val="2"/>
          </rPr>
          <t>Gross wages: what staff earn before PAYG withholding is taken out. Super and payroll tax are added below.</t>
        </r>
      </text>
    </comment>
    <comment ref="B11" authorId="0" shapeId="0" xr:uid="{00000000-0006-0000-0100-000003000000}">
      <text>
        <r>
          <rPr>
            <sz val="10"/>
            <color rgb="FF1B2230"/>
            <rFont val="Aptos"/>
            <family val="2"/>
          </rPr>
          <t>Super guarantee is 12%. Super timing rules have changed: Payday Super applies from 1 July 2026, so super is paid with wages. Check the current rules with your accountant.</t>
        </r>
      </text>
    </comment>
    <comment ref="B12" authorId="0" shapeId="0" xr:uid="{00000000-0006-0000-0100-000004000000}">
      <text>
        <r>
          <rPr>
            <sz val="10"/>
            <color rgb="FF1B2230"/>
            <rFont val="Aptos"/>
            <family val="2"/>
          </rPr>
          <t>Payroll tax is a state tax. Rates and thresholds vary by state and change. Your effective rate is payroll tax paid divided by wages plus super. Enter 0 if your wages are under your state threshold.</t>
        </r>
      </text>
    </comment>
    <comment ref="B13" authorId="0" shapeId="0" xr:uid="{00000000-0006-0000-0100-000005000000}">
      <text>
        <r>
          <rPr>
            <sz val="10"/>
            <color rgb="FF1B2230"/>
            <rFont val="Aptos"/>
            <family val="2"/>
          </rPr>
          <t>Workers compensation premiums are set by your state scheme or insurer as a rate on wages. Divide the annual premium by annual wages if you only know the dollar figure.</t>
        </r>
      </text>
    </comment>
    <comment ref="B14" authorId="0" shapeId="0" xr:uid="{00000000-0006-0000-0100-000006000000}">
      <text>
        <r>
          <rPr>
            <sz val="10"/>
            <color rgb="FF1B2230"/>
            <rFont val="Aptos"/>
            <family val="2"/>
          </rPr>
          <t>Used only for the second, stricter measure: weeks of must-pay costs covered. Weeks of payroll covered stays payroll only.</t>
        </r>
      </text>
    </comment>
    <comment ref="B17" authorId="0" shapeId="0" xr:uid="{00000000-0006-0000-0100-000007000000}">
      <text>
        <r>
          <rPr>
            <sz val="10"/>
            <color rgb="FF1B2230"/>
            <rFont val="Aptos"/>
            <family val="2"/>
          </rPr>
          <t>Your own target. Ivanka Menken does not set a benchmark: the right cover depends on how fast clients pay and how lumpy receipts are.</t>
        </r>
      </text>
    </comment>
  </commentList>
</comments>
</file>

<file path=xl/sharedStrings.xml><?xml version="1.0" encoding="utf-8"?>
<sst xmlns="http://schemas.openxmlformats.org/spreadsheetml/2006/main" count="197" uniqueCount="189">
  <si>
    <t>FREE TEMPLATE FOR FOUNDERS</t>
  </si>
  <si>
    <t>Weeks of Payroll Covered Calculator</t>
  </si>
  <si>
    <t>Cash in the bank divided by one week of payroll: scorecard number 1, with super, payroll tax and a 12-month tracker.</t>
  </si>
  <si>
    <t>Version</t>
  </si>
  <si>
    <t>2.0, 21 October 2026</t>
  </si>
  <si>
    <t>Author</t>
  </si>
  <si>
    <t>Ivanka Menken, Strategic Mentor, https://ivankamenken.com</t>
  </si>
  <si>
    <t>Template page</t>
  </si>
  <si>
    <t>https://ivankamenken.com/templates/payroll-cover-calculator</t>
  </si>
  <si>
    <t>Works in</t>
  </si>
  <si>
    <t>Microsoft Excel, Google Sheets and Apple Numbers. No macros, no links to other files, nothing locked.</t>
  </si>
  <si>
    <t>WORKBOOK STATUS</t>
  </si>
  <si>
    <t>HOW TO USE IT IN FIVE STEPS</t>
  </si>
  <si>
    <t>Read this Cover, then clear the example figures (the list is below) or type straight over them.</t>
  </si>
  <si>
    <t>On the Inputs sheet, type cash in the bank, gross wages for one pay run and pick the pay frequency.</t>
  </si>
  <si>
    <t>Check super (12%), enter your effective payroll tax rate (0 if under your state threshold) and your workers compensation rate. Set your target and red line.</t>
  </si>
  <si>
    <t>Open the Checks sheet. Every row should read Pass; a Fix tells you what to change.</t>
  </si>
  <si>
    <t>Read the Dashboard. Once a month, write cash in the bank on the Tracker sheet and watch the line against your target.</t>
  </si>
  <si>
    <t>SHEET MAP (CLICK A NAME TO GO THERE)</t>
  </si>
  <si>
    <t>Sheet</t>
  </si>
  <si>
    <t>Role</t>
  </si>
  <si>
    <t>What it does</t>
  </si>
  <si>
    <t>Cover</t>
  </si>
  <si>
    <t>Start here</t>
  </si>
  <si>
    <t>This page: how to use the workbook, the sheet map and the overall status.</t>
  </si>
  <si>
    <t>Inputs</t>
  </si>
  <si>
    <t>Your figures</t>
  </si>
  <si>
    <t>Your figures: cash in the bank, one pay run, pay frequency, super, payroll tax, workers compensation and your targets.</t>
  </si>
  <si>
    <t>Dashboard</t>
  </si>
  <si>
    <t>Results</t>
  </si>
  <si>
    <t>Results: the number, its status against your target, the gap, what one week of payroll is made of, and the trend.</t>
  </si>
  <si>
    <t>Tracker</t>
  </si>
  <si>
    <t>Twelve months of the number, written down once a month, with the change on last month and a status.</t>
  </si>
  <si>
    <t>Calculations</t>
  </si>
  <si>
    <t>Workings</t>
  </si>
  <si>
    <t>Workings: one week of payroll line by line, the result, the cash each target needs, and the chart series.</t>
  </si>
  <si>
    <t>Checks</t>
  </si>
  <si>
    <t>Input completeness and sanity checks, each with a Pass or Fix flag, rolled up to the cover.</t>
  </si>
  <si>
    <t>COLOUR LEGEND</t>
  </si>
  <si>
    <t>Input</t>
  </si>
  <si>
    <t>Gold cells are yours to type in. Each one has a note on what to enter and rejects entries that make no sense.</t>
  </si>
  <si>
    <t>Calculated</t>
  </si>
  <si>
    <t>Grey cells are formulas. Click one to read how it is worked out. Nothing is locked, but there is no need to type here.</t>
  </si>
  <si>
    <t>Check: Pass</t>
  </si>
  <si>
    <t>Green means a check passes, or a result is on target.</t>
  </si>
  <si>
    <t>Check: Fix</t>
  </si>
  <si>
    <t>Red means a check needs a fix, or a result needs action. Amber means watch it.</t>
  </si>
  <si>
    <t>CLEAR THE EXAMPLE FIGURES</t>
  </si>
  <si>
    <t>Select each range below and press Delete. The Dashboard shows zeros and the Checks sheet lists what is missing until your own figures are in.</t>
  </si>
  <si>
    <t>Inputs!D7:D9</t>
  </si>
  <si>
    <t>Business name, cash in the bank and gross wages per pay run.</t>
  </si>
  <si>
    <t>Inputs!D12:D14</t>
  </si>
  <si>
    <t>Payroll tax rate, workers compensation rate and other must-pay costs.</t>
  </si>
  <si>
    <t>Inputs!D17:D18</t>
  </si>
  <si>
    <t>Your target and red line. Set your own rather than leaving them blank.</t>
  </si>
  <si>
    <t>Tracker!C8:D19</t>
  </si>
  <si>
    <t>The example months in the tracker. Then set the first month in Tracker C5.</t>
  </si>
  <si>
    <t>Keep pay frequency and the super guarantee rate (12%) unless they differ for you; they are settings rather than example figures.</t>
  </si>
  <si>
    <t>SCOPE</t>
  </si>
  <si>
    <t>General information, not financial, tax or accounting advice. The workbook is arithmetic on the figures you type in. Check figures with your accountant or bookkeeper before you act on them, and check the current rules with your accountant.</t>
  </si>
  <si>
    <t>Free to use and share inside your business. Please keep this credit: Ivanka Menken, Strategic Mentor, https://ivankamenken.com. Not for resale.</t>
  </si>
  <si>
    <t>Type your own figures in the gold cells. Every other sheet works from this one.</t>
  </si>
  <si>
    <t>EXAMPLE FIGURES are shown in the gold cells. Replace them with your own, or clear them first: the list is on the Cover.</t>
  </si>
  <si>
    <t>CASH AND PAYROLL</t>
  </si>
  <si>
    <t>Business name (optional)</t>
  </si>
  <si>
    <t>Optional. It shows in the Dashboard title.</t>
  </si>
  <si>
    <t>Cash in the bank today</t>
  </si>
  <si>
    <t>Cleared funds across all business accounts, without receipts you are still waiting for.</t>
  </si>
  <si>
    <t>Gross wages per pay run (before super)</t>
  </si>
  <si>
    <t>What one pay run costs in gross wages. Your payroll report shows it.</t>
  </si>
  <si>
    <t>Pay frequency</t>
  </si>
  <si>
    <t>Fortnightly</t>
  </si>
  <si>
    <t>Weekly, Fortnightly or Monthly. Converted to one week: runs a year divided by 52.</t>
  </si>
  <si>
    <t>Super guarantee rate</t>
  </si>
  <si>
    <t>12%. From 1 July 2026 super is paid with wages (Payday Super). Check the current rules with your accountant.</t>
  </si>
  <si>
    <t>Payroll tax, your effective rate</t>
  </si>
  <si>
    <t>Rates and thresholds vary by state. Enter your own effective rate, or 0 if you are under the threshold.</t>
  </si>
  <si>
    <t>Workers compensation premium, share of wages</t>
  </si>
  <si>
    <t>Annual premium divided by annual wages, if you only know the dollar figure.</t>
  </si>
  <si>
    <t>Other must-pay costs per week (rent, loans, insurance)</t>
  </si>
  <si>
    <t>Optional. Used only for the stricter measure: weeks of must-pay costs covered.</t>
  </si>
  <si>
    <t>YOUR TARGETS</t>
  </si>
  <si>
    <t>Target weeks of payroll to hold</t>
  </si>
  <si>
    <t>Green at or above this number.</t>
  </si>
  <si>
    <t>Red below this many weeks</t>
  </si>
  <si>
    <t>Amber between this and your target, red below it.</t>
  </si>
  <si>
    <t>The other four scorecard numbers, online and free: https://ivankamenken.com/scorecard</t>
  </si>
  <si>
    <t>See the weeks ahead, not just today: https://ivankamenken.com/templates/13-week-cash-flow-template</t>
  </si>
  <si>
    <t>Cash in the bank divided by one week of payroll: scorecard number 1. Payroll is the bill that cannot slip.</t>
  </si>
  <si>
    <t>STATUS</t>
  </si>
  <si>
    <t>WEEKS OF PAYROLL COVERED</t>
  </si>
  <si>
    <t>ONE WEEK OF PAYROLL</t>
  </si>
  <si>
    <t>GAP TO YOUR TARGET</t>
  </si>
  <si>
    <t>MUST-PAY COSTS COVERED</t>
  </si>
  <si>
    <t>PAY RUNS COVERED</t>
  </si>
  <si>
    <t>WHAT THE NUMBER SAYS</t>
  </si>
  <si>
    <t>THE LAST TWELVE MONTHS AGAINST YOUR TARGET</t>
  </si>
  <si>
    <t>WHAT ONE WEEK OF PAYROLL IS MADE OF</t>
  </si>
  <si>
    <t>General information, not financial, tax or accounting advice. Super and payroll tax rules change and differ by state: check the current rules with your accountant. From Ivanka Menken, Strategic Mentor, https://ivankamenken.com</t>
  </si>
  <si>
    <t>Monthly tracker</t>
  </si>
  <si>
    <t>Once a month, write down cash in the bank. It means most next to your own number from last month.</t>
  </si>
  <si>
    <t>First month</t>
  </si>
  <si>
    <t>Type the 1st of the first month. EXAMPLE FIGURES fill the first six months.</t>
  </si>
  <si>
    <t>Month</t>
  </si>
  <si>
    <t>Cash in the bank</t>
  </si>
  <si>
    <t>One week of payroll (optional)</t>
  </si>
  <si>
    <t>Payroll used</t>
  </si>
  <si>
    <t>Weeks covered</t>
  </si>
  <si>
    <t>Target</t>
  </si>
  <si>
    <t>Red line</t>
  </si>
  <si>
    <t>Status</t>
  </si>
  <si>
    <t>Change on last month</t>
  </si>
  <si>
    <t>The one number you want to move, and why</t>
  </si>
  <si>
    <t>Fill months in order from the top. Leave the payroll column blank to use today's one week of payroll from the Calculations sheet.</t>
  </si>
  <si>
    <t>The other four scorecard numbers: gross margin, newest-work price against a year ago, commitments kept, confidence 1 to 10. https://ivankamenken.com/scorecard</t>
  </si>
  <si>
    <t>One week of payroll, line by line, and what it means for cover. Every figure is a formula you can click.</t>
  </si>
  <si>
    <t>Per week</t>
  </si>
  <si>
    <t>How it is worked out</t>
  </si>
  <si>
    <t>Pay runs a year</t>
  </si>
  <si>
    <t>52 weekly, 26 fortnightly, 12 monthly.</t>
  </si>
  <si>
    <t>Gross wages per week</t>
  </si>
  <si>
    <t>Wages per pay run times runs a year, divided by 52.</t>
  </si>
  <si>
    <t>Super guarantee per week</t>
  </si>
  <si>
    <t>Weekly wages times the super guarantee rate.</t>
  </si>
  <si>
    <t>Payroll tax per week</t>
  </si>
  <si>
    <t>Wages plus super, times your effective payroll tax rate.</t>
  </si>
  <si>
    <t>Workers compensation per week</t>
  </si>
  <si>
    <t>Weekly wages times your premium rate.</t>
  </si>
  <si>
    <t>One week of payroll</t>
  </si>
  <si>
    <t>The four lines above.</t>
  </si>
  <si>
    <t>THE RESULT</t>
  </si>
  <si>
    <t>Weeks of payroll covered by cash in the bank</t>
  </si>
  <si>
    <t>Cash in the bank divided by one week of payroll. Scorecard number 1.</t>
  </si>
  <si>
    <t>One pay run, all in</t>
  </si>
  <si>
    <t>One week of payroll scaled to your pay cycle.</t>
  </si>
  <si>
    <t>Pay runs covered</t>
  </si>
  <si>
    <t>Cash in the bank divided by one pay run.</t>
  </si>
  <si>
    <t>Cash needed to hold your target</t>
  </si>
  <si>
    <t>Target weeks times one week of payroll.</t>
  </si>
  <si>
    <t>Gap to your target (negative means you are past it)</t>
  </si>
  <si>
    <t>Cash needed less cash in the bank.</t>
  </si>
  <si>
    <t>Cash at your red line</t>
  </si>
  <si>
    <t>Red line weeks times one week of payroll.</t>
  </si>
  <si>
    <t>One week of must-pay costs</t>
  </si>
  <si>
    <t>The stricter view: payroll plus the other costs that cannot slip.</t>
  </si>
  <si>
    <t>Weeks of must-pay costs covered</t>
  </si>
  <si>
    <t>Cash in the bank divided by one week of must-pay costs.</t>
  </si>
  <si>
    <t>Status against your target</t>
  </si>
  <si>
    <t>Green at or above target, amber between your red line and target, red below.</t>
  </si>
  <si>
    <t>CASH NEEDED FOR OTHER LEVELS OF COVER</t>
  </si>
  <si>
    <t>Weeks of payroll</t>
  </si>
  <si>
    <t>Cash needed</t>
  </si>
  <si>
    <t>Gap to cash in the bank today (negative: already covered)</t>
  </si>
  <si>
    <t>CHART SERIES FOR THE TRACKER (#N/A LEAVES A GAP WHERE NO MONTH IS ENTERED)</t>
  </si>
  <si>
    <t>Every check should read Pass before you rely on the Dashboard. A Fix tells you what to change.</t>
  </si>
  <si>
    <t>Checks that need a fix</t>
  </si>
  <si>
    <t>Checks in total</t>
  </si>
  <si>
    <t>#</t>
  </si>
  <si>
    <t>Check</t>
  </si>
  <si>
    <t>Result</t>
  </si>
  <si>
    <t>If it says Fix</t>
  </si>
  <si>
    <t>Cash in the bank is entered</t>
  </si>
  <si>
    <t>Type your cleared balance in Inputs D8. Use 0 if it is empty.</t>
  </si>
  <si>
    <t>Cash in the bank is not negative (or the overdraft is intended)</t>
  </si>
  <si>
    <t>A negative balance means an overdraft. If that is right, the flag is a prompt to double check.</t>
  </si>
  <si>
    <t>Payroll is entered (gross wages per pay run above zero)</t>
  </si>
  <si>
    <t>Missing payroll. Type gross wages for one pay run in Inputs D9.</t>
  </si>
  <si>
    <t>Pay frequency is Weekly, Fortnightly or Monthly</t>
  </si>
  <si>
    <t>Pick the frequency from the list in Inputs D10.</t>
  </si>
  <si>
    <t>Super guarantee rate is between 0% and 30%</t>
  </si>
  <si>
    <t>The super guarantee is 12%. Check Inputs D11.</t>
  </si>
  <si>
    <t>Payroll tax rate is between 0% and 10%</t>
  </si>
  <si>
    <t>Enter your effective rate in Inputs D12, or 0 if you are under your state threshold.</t>
  </si>
  <si>
    <t>Workers compensation rate is between 0% and 15%</t>
  </si>
  <si>
    <t>Check Inputs D13 against your policy.</t>
  </si>
  <si>
    <t>Other must-pay costs are not negative</t>
  </si>
  <si>
    <t>Enter costs as positive numbers in Inputs D14, or leave it blank.</t>
  </si>
  <si>
    <t>Target weeks is above zero</t>
  </si>
  <si>
    <t>Set your own target in Inputs D17.</t>
  </si>
  <si>
    <t>Red line is below the target</t>
  </si>
  <si>
    <t>Set the red line in Inputs D18 below your target, or amber never shows.</t>
  </si>
  <si>
    <t>Tracker first month is entered</t>
  </si>
  <si>
    <t>Type the 1st of the first month in Tracker C5.</t>
  </si>
  <si>
    <t>No negative amounts in the tracker</t>
  </si>
  <si>
    <t>Cash and payroll in the tracker should be positive. Look for a minus sign in Tracker C8:D19.</t>
  </si>
  <si>
    <t>Tracker months are filled in order from the top</t>
  </si>
  <si>
    <t>Fill the tracker from the first row down without gaps, so the trend reads the latest month.</t>
  </si>
  <si>
    <t>The arithmetic holds: weeks covered times one week of payroll equals cash in the bank</t>
  </si>
  <si>
    <t>If this says Fix, a formula has been typed over: download a fresh copy.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</si>
</sst>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Red]\-&quot;$&quot;#,##0;&quot;$&quot;0"/>
    <numFmt numFmtId="165" formatCode="0.0%;[Red]\-0.0%;0.0%"/>
    <numFmt numFmtId="166" formatCode="0.0"/>
    <numFmt numFmtId="167" formatCode="0&quot; weeks&quot;"/>
    <numFmt numFmtId="168" formatCode="mmm\ yyyy"/>
    <numFmt numFmtId="170" formatCode="\+0.0;[Red]\-0.0;0.0"/>
    <numFmt numFmtId="171" formatCode="0.0&quot; wks&quot;"/>
    <numFmt numFmtId="172" formatCode="#,##0;[Red]\-#,##0;0"/>
  </numFmts>
  <fonts count="25" x14ac:knownFonts="1">
    <font>
      <sz val="10"/>
      <color rgb="FF1B2230"/>
      <name val="Aptos"/>
      <family val="2"/>
    </font>
    <font>
      <b/>
      <sz val="20"/>
      <color rgb="FF14213D"/>
      <name val="Aptos"/>
    </font>
    <font>
      <sz val="10"/>
      <color rgb="FF5F6673"/>
      <name val="Aptos"/>
    </font>
    <font>
      <i/>
      <sz val="9"/>
      <color rgb="FF7A5D17"/>
      <name val="Aptos"/>
    </font>
    <font>
      <b/>
      <sz val="10"/>
      <color rgb="FFFFFFFF"/>
      <name val="Aptos"/>
    </font>
    <font>
      <sz val="10"/>
      <color rgb="FF1B2230"/>
      <name val="Aptos"/>
    </font>
    <font>
      <sz val="10"/>
      <color rgb="FF14213D"/>
      <name val="Aptos"/>
    </font>
    <font>
      <sz val="9"/>
      <color rgb="FF5F6673"/>
      <name val="Aptos"/>
    </font>
    <font>
      <i/>
      <sz val="9"/>
      <color rgb="FF5F6673"/>
      <name val="Aptos"/>
    </font>
    <font>
      <b/>
      <sz val="9"/>
      <color rgb="FF33415C"/>
      <name val="Aptos"/>
    </font>
    <font>
      <b/>
      <sz val="10"/>
      <color rgb="FF1B2230"/>
      <name val="Aptos"/>
    </font>
    <font>
      <sz val="9"/>
      <color rgb="FF1B2230"/>
      <name val="Aptos"/>
    </font>
    <font>
      <b/>
      <sz val="9"/>
      <color rgb="FF5F6673"/>
      <name val="Aptos"/>
    </font>
    <font>
      <b/>
      <sz val="11"/>
      <color rgb="FF1B2230"/>
      <name val="Aptos"/>
    </font>
    <font>
      <b/>
      <sz val="8"/>
      <color rgb="FF5F6673"/>
      <name val="Aptos"/>
    </font>
    <font>
      <b/>
      <sz val="22"/>
      <color rgb="FF14213D"/>
      <name val="Aptos"/>
    </font>
    <font>
      <i/>
      <sz val="10"/>
      <color rgb="FF5F6673"/>
      <name val="Aptos"/>
    </font>
    <font>
      <b/>
      <sz val="9"/>
      <color rgb="FFC9A84C"/>
      <name val="Aptos"/>
    </font>
    <font>
      <b/>
      <sz val="26"/>
      <color rgb="FFFFFFFF"/>
      <name val="Aptos"/>
    </font>
    <font>
      <sz val="11"/>
      <color rgb="FFDCE1EA"/>
      <name val="Aptos"/>
    </font>
    <font>
      <b/>
      <sz val="14"/>
      <color rgb="FF7A5D17"/>
      <name val="Aptos"/>
    </font>
    <font>
      <b/>
      <u/>
      <sz val="10"/>
      <color rgb="FF14213D"/>
      <name val="Aptos"/>
    </font>
    <font>
      <b/>
      <sz val="10"/>
      <color rgb="FF14213D"/>
      <name val="Aptos"/>
    </font>
    <font>
      <b/>
      <sz val="10"/>
      <color rgb="FF1E6B3C"/>
      <name val="Aptos"/>
    </font>
    <font>
      <b/>
      <sz val="10"/>
      <color rgb="FF9B1C1C"/>
      <name val="Aptos"/>
    </font>
  </fonts>
  <fills count="12">
    <fill>
      <patternFill patternType="none"/>
    </fill>
    <fill>
      <patternFill patternType="gray125"/>
    </fill>
    <fill>
      <patternFill patternType="solid">
        <fgColor rgb="FF14213D"/>
      </patternFill>
    </fill>
    <fill>
      <patternFill patternType="solid">
        <fgColor rgb="FFFDF4DF"/>
      </patternFill>
    </fill>
    <fill>
      <patternFill patternType="solid">
        <fgColor rgb="FFF2F3F5"/>
      </patternFill>
    </fill>
    <fill>
      <patternFill patternType="solid">
        <fgColor rgb="FFF7F7F4"/>
      </patternFill>
    </fill>
    <fill>
      <patternFill patternType="solid">
        <fgColor rgb="FFC9A84C"/>
      </patternFill>
    </fill>
    <fill>
      <patternFill patternType="solid">
        <fgColor rgb="FF8A919C"/>
      </patternFill>
    </fill>
    <fill>
      <patternFill patternType="solid">
        <fgColor rgb="FF2F4A7A"/>
      </patternFill>
    </fill>
    <fill>
      <patternFill patternType="solid">
        <fgColor rgb="FF2E7D4F"/>
      </patternFill>
    </fill>
    <fill>
      <patternFill patternType="solid">
        <fgColor rgb="FFE2F0E6"/>
      </patternFill>
    </fill>
    <fill>
      <patternFill patternType="solid">
        <fgColor rgb="FFF9E0E0"/>
      </patternFill>
    </fill>
  </fills>
  <borders count="10">
    <border>
      <left/>
      <right/>
      <top/>
      <bottom/>
      <diagonal/>
    </border>
    <border>
      <left/>
      <right/>
      <top/>
      <bottom style="medium">
        <color rgb="FFC9A84C"/>
      </bottom>
      <diagonal/>
    </border>
    <border>
      <left style="thin">
        <color rgb="FFC9A84C"/>
      </left>
      <right style="thin">
        <color rgb="FFC9A84C"/>
      </right>
      <top style="thin">
        <color rgb="FFC9A84C"/>
      </top>
      <bottom style="thin">
        <color rgb="FFC9A84C"/>
      </bottom>
      <diagonal/>
    </border>
    <border>
      <left/>
      <right/>
      <top/>
      <bottom style="thin">
        <color rgb="FF33415C"/>
      </bottom>
      <diagonal/>
    </border>
    <border>
      <left/>
      <right/>
      <top/>
      <bottom style="thin">
        <color rgb="FFD5D9E0"/>
      </bottom>
      <diagonal/>
    </border>
    <border>
      <left/>
      <right/>
      <top style="thin">
        <color rgb="FF33415C"/>
      </top>
      <bottom style="thin">
        <color rgb="FFD5D9E0"/>
      </bottom>
      <diagonal/>
    </border>
    <border>
      <left/>
      <right/>
      <top style="thick">
        <color rgb="FFC9A84C"/>
      </top>
      <bottom/>
      <diagonal/>
    </border>
    <border>
      <left/>
      <right/>
      <top style="thick">
        <color rgb="FFC9A84C"/>
      </top>
      <bottom/>
      <diagonal/>
    </border>
    <border>
      <left/>
      <right/>
      <top/>
      <bottom/>
      <diagonal/>
    </border>
    <border>
      <left style="thin">
        <color rgb="FFD5D9E0"/>
      </left>
      <right style="thin">
        <color rgb="FFD5D9E0"/>
      </right>
      <top style="thin">
        <color rgb="FFD5D9E0"/>
      </top>
      <bottom style="thin">
        <color rgb="FFD5D9E0"/>
      </bottom>
      <diagonal/>
    </border>
  </borders>
  <cellStyleXfs count="1">
    <xf numFmtId="0" fontId="0" fillId="0" borderId="0"/>
  </cellStyleXfs>
  <cellXfs count="88">
    <xf numFmtId="0" fontId="0" fillId="0" borderId="0" xfId="0"/>
    <xf numFmtId="0" fontId="0" fillId="2" borderId="0" xfId="0" applyFill="1"/>
    <xf numFmtId="0" fontId="17" fillId="2" borderId="0" xfId="0" applyFont="1" applyFill="1" applyAlignment="1">
      <alignment vertical="center"/>
    </xf>
    <xf numFmtId="0" fontId="18" fillId="2" borderId="0" xfId="0" applyFont="1" applyFill="1" applyAlignment="1">
      <alignment vertical="center"/>
    </xf>
    <xf numFmtId="0" fontId="19" fillId="2" borderId="0" xfId="0" applyFont="1" applyFill="1" applyAlignment="1">
      <alignment vertical="center"/>
    </xf>
    <xf numFmtId="0" fontId="0" fillId="0" borderId="6" xfId="0" applyBorder="1"/>
    <xf numFmtId="0" fontId="12" fillId="0" borderId="0" xfId="0" applyFont="1" applyAlignment="1">
      <alignment vertical="center"/>
    </xf>
    <xf numFmtId="0" fontId="5" fillId="0" borderId="0" xfId="0" applyFont="1" applyAlignment="1">
      <alignment vertical="center"/>
    </xf>
    <xf numFmtId="0" fontId="10" fillId="4" borderId="0" xfId="0" applyFont="1" applyFill="1" applyAlignment="1">
      <alignment horizontal="center" vertical="center"/>
    </xf>
    <xf numFmtId="0" fontId="4" fillId="2" borderId="0" xfId="0" applyFont="1" applyFill="1" applyAlignment="1">
      <alignment vertical="center" indent="1"/>
    </xf>
    <xf numFmtId="0" fontId="20" fillId="0" borderId="4" xfId="0" applyFont="1" applyBorder="1" applyAlignment="1">
      <alignment horizontal="center" vertical="center"/>
    </xf>
    <xf numFmtId="0" fontId="5" fillId="0" borderId="4" xfId="0" applyFont="1" applyBorder="1" applyAlignment="1">
      <alignment vertical="center" wrapText="1"/>
    </xf>
    <xf numFmtId="0" fontId="0" fillId="0" borderId="3" xfId="0" applyBorder="1"/>
    <xf numFmtId="0" fontId="9" fillId="0" borderId="3" xfId="0" applyFont="1" applyBorder="1" applyAlignment="1">
      <alignment horizontal="left" vertical="center" wrapText="1"/>
    </xf>
    <xf numFmtId="0" fontId="5" fillId="2" borderId="0" xfId="0" applyFont="1" applyFill="1" applyAlignment="1">
      <alignment vertical="center"/>
    </xf>
    <xf numFmtId="0" fontId="21" fillId="0" borderId="4" xfId="0" applyFont="1" applyBorder="1" applyAlignment="1">
      <alignment vertical="center" indent="1"/>
    </xf>
    <xf numFmtId="0" fontId="7" fillId="0" borderId="4" xfId="0" applyFont="1" applyBorder="1" applyAlignment="1">
      <alignment vertical="center"/>
    </xf>
    <xf numFmtId="0" fontId="5" fillId="6" borderId="0" xfId="0" applyFont="1" applyFill="1" applyAlignment="1">
      <alignment vertical="center"/>
    </xf>
    <xf numFmtId="0" fontId="5" fillId="8" borderId="0" xfId="0" applyFont="1" applyFill="1" applyAlignment="1">
      <alignment vertical="center"/>
    </xf>
    <xf numFmtId="0" fontId="5" fillId="7" borderId="0" xfId="0" applyFont="1" applyFill="1" applyAlignment="1">
      <alignment vertical="center"/>
    </xf>
    <xf numFmtId="0" fontId="5" fillId="9" borderId="0" xfId="0" applyFont="1" applyFill="1" applyAlignment="1">
      <alignment vertical="center"/>
    </xf>
    <xf numFmtId="0" fontId="22" fillId="3" borderId="2" xfId="0" applyFont="1" applyFill="1" applyBorder="1" applyAlignment="1">
      <alignment horizontal="center" vertical="center"/>
    </xf>
    <xf numFmtId="0" fontId="10" fillId="4" borderId="9" xfId="0" applyFont="1" applyFill="1" applyBorder="1" applyAlignment="1">
      <alignment horizontal="center" vertical="center"/>
    </xf>
    <xf numFmtId="0" fontId="23" fillId="10" borderId="9" xfId="0" applyFont="1" applyFill="1" applyBorder="1" applyAlignment="1">
      <alignment horizontal="center" vertical="center"/>
    </xf>
    <xf numFmtId="0" fontId="24" fillId="11" borderId="9" xfId="0" applyFont="1" applyFill="1" applyBorder="1" applyAlignment="1">
      <alignment horizontal="center" vertical="center"/>
    </xf>
    <xf numFmtId="0" fontId="22" fillId="0" borderId="4" xfId="0" applyFont="1" applyBorder="1" applyAlignment="1">
      <alignment vertical="center" indent="1"/>
    </xf>
    <xf numFmtId="0" fontId="1" fillId="0" borderId="0" xfId="0" applyFont="1"/>
    <xf numFmtId="0" fontId="2" fillId="0" borderId="1" xfId="0" applyFont="1" applyBorder="1" applyAlignment="1">
      <alignment vertical="top"/>
    </xf>
    <xf numFmtId="0" fontId="0" fillId="0" borderId="1" xfId="0" applyBorder="1"/>
    <xf numFmtId="0" fontId="3" fillId="0" borderId="0" xfId="0" applyFont="1" applyAlignment="1">
      <alignment vertical="center"/>
    </xf>
    <xf numFmtId="0" fontId="5" fillId="0" borderId="0" xfId="0" applyFont="1" applyAlignment="1">
      <alignment vertical="center" indent="1"/>
    </xf>
    <xf numFmtId="0" fontId="6" fillId="3" borderId="2" xfId="0" applyFont="1" applyFill="1" applyBorder="1" applyAlignment="1">
      <alignment horizontal="left" vertical="center"/>
    </xf>
    <xf numFmtId="0" fontId="7" fillId="0" borderId="0" xfId="0" applyFont="1" applyAlignment="1">
      <alignment vertical="center" wrapText="1"/>
    </xf>
    <xf numFmtId="164" fontId="6" fillId="3" borderId="2" xfId="0" applyNumberFormat="1" applyFont="1" applyFill="1" applyBorder="1" applyAlignment="1">
      <alignment horizontal="right" vertical="center"/>
    </xf>
    <xf numFmtId="0" fontId="6" fillId="3" borderId="2" xfId="0" applyFont="1" applyFill="1" applyBorder="1" applyAlignment="1">
      <alignment horizontal="center" vertical="center"/>
    </xf>
    <xf numFmtId="165" fontId="6" fillId="3" borderId="2" xfId="0" applyNumberFormat="1" applyFont="1" applyFill="1" applyBorder="1" applyAlignment="1">
      <alignment horizontal="right" vertical="center"/>
    </xf>
    <xf numFmtId="10" fontId="6" fillId="3" borderId="2" xfId="0" applyNumberFormat="1" applyFont="1" applyFill="1" applyBorder="1" applyAlignment="1">
      <alignment horizontal="right" vertical="center"/>
    </xf>
    <xf numFmtId="166" fontId="6" fillId="3" borderId="2" xfId="0" applyNumberFormat="1" applyFont="1" applyFill="1" applyBorder="1" applyAlignment="1">
      <alignment horizontal="right" vertical="center"/>
    </xf>
    <xf numFmtId="0" fontId="8" fillId="0" borderId="0" xfId="0" applyFont="1" applyAlignment="1">
      <alignment vertical="center"/>
    </xf>
    <xf numFmtId="0" fontId="1" fillId="0" borderId="0" xfId="0" applyFont="1" applyAlignment="1">
      <alignment horizontal="left"/>
    </xf>
    <xf numFmtId="0" fontId="2" fillId="0" borderId="1" xfId="0" applyFont="1" applyBorder="1" applyAlignment="1">
      <alignment vertical="center"/>
    </xf>
    <xf numFmtId="168" fontId="6" fillId="3" borderId="2" xfId="0" applyNumberFormat="1" applyFont="1" applyFill="1" applyBorder="1" applyAlignment="1">
      <alignment horizontal="right" vertical="center"/>
    </xf>
    <xf numFmtId="0" fontId="9" fillId="0" borderId="3" xfId="0" applyFont="1" applyBorder="1" applyAlignment="1">
      <alignment horizontal="right" vertical="center" wrapText="1"/>
    </xf>
    <xf numFmtId="0" fontId="9" fillId="0" borderId="3" xfId="0" applyFont="1" applyBorder="1" applyAlignment="1">
      <alignment horizontal="center" vertical="center" wrapText="1"/>
    </xf>
    <xf numFmtId="168" fontId="5" fillId="4" borderId="4" xfId="0" applyNumberFormat="1" applyFont="1" applyFill="1" applyBorder="1" applyAlignment="1">
      <alignment horizontal="left" vertical="center"/>
    </xf>
    <xf numFmtId="164" fontId="5" fillId="4" borderId="4" xfId="0" applyNumberFormat="1" applyFont="1" applyFill="1" applyBorder="1" applyAlignment="1">
      <alignment horizontal="right" vertical="center"/>
    </xf>
    <xf numFmtId="166" fontId="10" fillId="4" borderId="4" xfId="0" applyNumberFormat="1" applyFont="1" applyFill="1" applyBorder="1" applyAlignment="1">
      <alignment horizontal="right" vertical="center"/>
    </xf>
    <xf numFmtId="166" fontId="5" fillId="4" borderId="4" xfId="0" applyNumberFormat="1" applyFont="1" applyFill="1" applyBorder="1" applyAlignment="1">
      <alignment horizontal="right" vertical="center"/>
    </xf>
    <xf numFmtId="0" fontId="11" fillId="4" borderId="4" xfId="0" applyFont="1" applyFill="1" applyBorder="1" applyAlignment="1">
      <alignment horizontal="center" vertical="center"/>
    </xf>
    <xf numFmtId="0" fontId="5" fillId="4" borderId="4" xfId="0" applyFont="1" applyFill="1" applyBorder="1" applyAlignment="1">
      <alignment horizontal="right" vertical="center"/>
    </xf>
    <xf numFmtId="0" fontId="6" fillId="3" borderId="2" xfId="0" applyFont="1" applyFill="1" applyBorder="1" applyAlignment="1">
      <alignment vertical="center"/>
    </xf>
    <xf numFmtId="170" fontId="5" fillId="4" borderId="4" xfId="0" applyNumberFormat="1" applyFont="1" applyFill="1" applyBorder="1" applyAlignment="1">
      <alignment horizontal="right" vertical="center"/>
    </xf>
    <xf numFmtId="1" fontId="5" fillId="4" borderId="4" xfId="0" applyNumberFormat="1" applyFont="1" applyFill="1" applyBorder="1" applyAlignment="1">
      <alignment horizontal="right" vertical="center"/>
    </xf>
    <xf numFmtId="0" fontId="7" fillId="0" borderId="0" xfId="0" applyFont="1" applyAlignment="1">
      <alignment vertical="center"/>
    </xf>
    <xf numFmtId="0" fontId="10" fillId="0" borderId="5" xfId="0" applyFont="1" applyBorder="1" applyAlignment="1">
      <alignment vertical="center" indent="1"/>
    </xf>
    <xf numFmtId="0" fontId="0" fillId="0" borderId="5" xfId="0" applyBorder="1"/>
    <xf numFmtId="164" fontId="10" fillId="4" borderId="5" xfId="0" applyNumberFormat="1" applyFont="1" applyFill="1" applyBorder="1" applyAlignment="1">
      <alignment horizontal="right" vertical="center"/>
    </xf>
    <xf numFmtId="0" fontId="7" fillId="0" borderId="5" xfId="0" applyFont="1" applyBorder="1" applyAlignment="1">
      <alignment vertical="center"/>
    </xf>
    <xf numFmtId="0" fontId="10" fillId="0" borderId="0" xfId="0" applyFont="1" applyAlignment="1">
      <alignment vertical="center" indent="1"/>
    </xf>
    <xf numFmtId="0" fontId="10" fillId="4" borderId="4" xfId="0" applyFont="1" applyFill="1" applyBorder="1" applyAlignment="1">
      <alignment horizontal="center" vertical="center"/>
    </xf>
    <xf numFmtId="167" fontId="5" fillId="0" borderId="4" xfId="0" applyNumberFormat="1" applyFont="1" applyBorder="1" applyAlignment="1">
      <alignment horizontal="left" vertical="center" indent="1"/>
    </xf>
    <xf numFmtId="164" fontId="5" fillId="4" borderId="4" xfId="0" applyNumberFormat="1" applyFont="1" applyFill="1" applyBorder="1" applyAlignment="1">
      <alignment horizontal="left" indent="1"/>
    </xf>
    <xf numFmtId="0" fontId="10" fillId="0" borderId="0" xfId="0" applyFont="1" applyAlignment="1">
      <alignment vertical="center"/>
    </xf>
    <xf numFmtId="172" fontId="10" fillId="4" borderId="4" xfId="0" applyNumberFormat="1" applyFont="1" applyFill="1" applyBorder="1" applyAlignment="1">
      <alignment horizontal="right" vertical="center"/>
    </xf>
    <xf numFmtId="0" fontId="10" fillId="0" borderId="0" xfId="0" applyFont="1" applyAlignment="1">
      <alignment horizontal="left" vertical="center"/>
    </xf>
    <xf numFmtId="172" fontId="5" fillId="4" borderId="4" xfId="0" applyNumberFormat="1" applyFont="1" applyFill="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vertical="center" wrapText="1"/>
    </xf>
    <xf numFmtId="0" fontId="8" fillId="0" borderId="0" xfId="0" applyFont="1" applyAlignment="1">
      <alignment vertical="center" wrapText="1"/>
    </xf>
    <xf numFmtId="0" fontId="0" fillId="0" borderId="0" xfId="0"/>
    <xf numFmtId="0" fontId="5" fillId="0" borderId="4" xfId="0" applyFont="1" applyBorder="1" applyAlignment="1">
      <alignment vertical="center" wrapText="1"/>
    </xf>
    <xf numFmtId="0" fontId="0" fillId="0" borderId="4" xfId="0" applyBorder="1"/>
    <xf numFmtId="0" fontId="5" fillId="0" borderId="0" xfId="0" applyFont="1" applyAlignment="1">
      <alignment vertical="center" wrapText="1" indent="1"/>
    </xf>
    <xf numFmtId="0" fontId="5" fillId="0" borderId="4" xfId="0" applyFont="1" applyBorder="1" applyAlignment="1">
      <alignment vertical="center" wrapText="1" indent="1"/>
    </xf>
    <xf numFmtId="0" fontId="5" fillId="0" borderId="0" xfId="0" applyFont="1" applyAlignment="1">
      <alignment vertical="center" wrapText="1"/>
    </xf>
    <xf numFmtId="0" fontId="9" fillId="0" borderId="3" xfId="0" applyFont="1" applyBorder="1" applyAlignment="1">
      <alignment horizontal="left" vertical="center" wrapText="1"/>
    </xf>
    <xf numFmtId="0" fontId="0" fillId="0" borderId="3" xfId="0" applyBorder="1"/>
    <xf numFmtId="0" fontId="5" fillId="0" borderId="0" xfId="0" applyFont="1" applyAlignment="1">
      <alignment horizontal="left" vertical="center" wrapText="1" indent="1"/>
    </xf>
    <xf numFmtId="171" fontId="15" fillId="5" borderId="8" xfId="0" applyNumberFormat="1" applyFont="1" applyFill="1" applyBorder="1" applyAlignment="1">
      <alignment horizontal="left" vertical="center" indent="1"/>
    </xf>
    <xf numFmtId="0" fontId="13" fillId="4" borderId="0" xfId="0" applyFont="1" applyFill="1" applyAlignment="1">
      <alignment horizontal="center" vertical="center"/>
    </xf>
    <xf numFmtId="0" fontId="7" fillId="5" borderId="4" xfId="0" applyFont="1" applyFill="1" applyBorder="1" applyAlignment="1">
      <alignment horizontal="left" vertical="top" wrapText="1" indent="1"/>
    </xf>
    <xf numFmtId="166" fontId="15" fillId="5" borderId="8" xfId="0" applyNumberFormat="1" applyFont="1" applyFill="1" applyBorder="1" applyAlignment="1">
      <alignment horizontal="left" vertical="center" indent="1"/>
    </xf>
    <xf numFmtId="0" fontId="14" fillId="5" borderId="6" xfId="0" applyFont="1" applyFill="1" applyBorder="1" applyAlignment="1">
      <alignment indent="1"/>
    </xf>
    <xf numFmtId="0" fontId="0" fillId="0" borderId="7" xfId="0" applyBorder="1"/>
    <xf numFmtId="0" fontId="8" fillId="0" borderId="0" xfId="0" applyFont="1" applyAlignment="1">
      <alignment vertical="top" wrapText="1"/>
    </xf>
    <xf numFmtId="164" fontId="15" fillId="5" borderId="8" xfId="0" applyNumberFormat="1" applyFont="1" applyFill="1" applyBorder="1" applyAlignment="1">
      <alignment horizontal="left" vertical="center" indent="1"/>
    </xf>
    <xf numFmtId="0" fontId="16" fillId="0" borderId="0" xfId="0" applyFont="1" applyAlignment="1">
      <alignment horizontal="left" vertical="center" wrapText="1" indent="1"/>
    </xf>
    <xf numFmtId="0" fontId="5" fillId="0" borderId="0" xfId="0" applyFont="1" applyAlignment="1">
      <alignment horizontal="left" vertical="center" indent="1"/>
    </xf>
  </cellXfs>
  <cellStyles count="1">
    <cellStyle name="Normal" xfId="0" builtinId="0"/>
  </cellStyles>
  <dxfs count="16">
    <dxf>
      <font>
        <b/>
        <color rgb="FF9B1C1C"/>
        <name val="Aptos"/>
      </font>
      <fill>
        <patternFill patternType="solid">
          <fgColor rgb="FFF9E0E0"/>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7A4F00"/>
        <name val="Aptos"/>
      </font>
      <fill>
        <patternFill patternType="solid">
          <fgColor rgb="FFFFF0CC"/>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7A4F00"/>
        <name val="Aptos"/>
      </font>
      <fill>
        <patternFill patternType="solid">
          <fgColor rgb="FFFFF0CC"/>
        </patternFill>
      </fill>
    </dxf>
    <dxf>
      <font>
        <b/>
        <color rgb="FF1E6B3C"/>
        <name val="Aptos"/>
      </font>
      <fill>
        <patternFill patternType="solid">
          <fgColor rgb="FFE2F0E6"/>
        </patternFill>
      </fill>
    </dxf>
    <dxf>
      <font>
        <b/>
        <color rgb="FF7A4F00"/>
        <name val="Aptos"/>
      </font>
      <fill>
        <patternFill patternType="solid">
          <fgColor rgb="FFFFF0CC"/>
        </patternFill>
      </fill>
    </dxf>
    <dxf>
      <font>
        <b/>
        <color rgb="FF9B1C1C"/>
        <name val="Aptos"/>
      </font>
      <fill>
        <patternFill patternType="solid">
          <fgColor rgb="FFF9E0E0"/>
        </patternFill>
      </fill>
    </dxf>
    <dxf>
      <font>
        <b/>
        <color rgb="FF7A4F00"/>
        <name val="Aptos"/>
      </font>
      <fill>
        <patternFill patternType="solid">
          <fgColor rgb="FFFFF0CC"/>
        </patternFill>
      </fill>
    </dxf>
    <dxf>
      <font>
        <b/>
        <color rgb="FF1E6B3C"/>
        <name val="Aptos"/>
      </font>
      <fill>
        <patternFill patternType="solid">
          <fgColor rgb="FFE2F0E6"/>
        </patternFill>
      </fill>
    </dxf>
    <dxf>
      <font>
        <b/>
        <color rgb="FF9B1C1C"/>
        <name val="Aptos"/>
      </font>
      <fill>
        <patternFill patternType="solid">
          <fgColor rgb="FFF9E0E0"/>
        </patternFill>
      </fill>
    </dxf>
    <dxf>
      <font>
        <b/>
        <color rgb="FF1E6B3C"/>
        <name val="Aptos"/>
      </font>
      <fill>
        <patternFill patternType="solid">
          <fgColor rgb="FFE2F0E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lineChart>
        <c:grouping val="standard"/>
        <c:varyColors val="0"/>
        <c:ser>
          <c:idx val="0"/>
          <c:order val="0"/>
          <c:tx>
            <c:v>Weeks covered</c:v>
          </c:tx>
          <c:spPr>
            <a:ln w="31750">
              <a:solidFill>
                <a:srgbClr val="14213D"/>
              </a:solidFill>
              <a:prstDash val="solid"/>
            </a:ln>
          </c:spPr>
          <c:marker>
            <c:symbol val="circle"/>
            <c:size val="6"/>
            <c:spPr>
              <a:solidFill>
                <a:srgbClr val="14213D"/>
              </a:solidFill>
              <a:ln w="12700">
                <a:solidFill>
                  <a:srgbClr val="14213D"/>
                </a:solidFill>
                <a:prstDash val="solid"/>
              </a:ln>
            </c:spPr>
          </c:marker>
          <c:dPt>
            <c:idx val="0"/>
            <c:bubble3D val="0"/>
            <c:spPr>
              <a:ln w="31750">
                <a:solidFill>
                  <a:srgbClr val="14213D"/>
                </a:solidFill>
                <a:prstDash val="solid"/>
              </a:ln>
            </c:spPr>
            <c:extLst>
              <c:ext xmlns:c16="http://schemas.microsoft.com/office/drawing/2014/chart" uri="{C3380CC4-5D6E-409C-BE32-E72D297353CC}">
                <c16:uniqueId val="{00000001-3945-954C-B5A3-598134654C01}"/>
              </c:ext>
            </c:extLst>
          </c:dPt>
          <c:dPt>
            <c:idx val="1"/>
            <c:bubble3D val="0"/>
            <c:spPr>
              <a:ln w="31750">
                <a:solidFill>
                  <a:srgbClr val="14213D"/>
                </a:solidFill>
                <a:prstDash val="solid"/>
              </a:ln>
            </c:spPr>
            <c:extLst>
              <c:ext xmlns:c16="http://schemas.microsoft.com/office/drawing/2014/chart" uri="{C3380CC4-5D6E-409C-BE32-E72D297353CC}">
                <c16:uniqueId val="{00000003-3945-954C-B5A3-598134654C01}"/>
              </c:ext>
            </c:extLst>
          </c:dPt>
          <c:dPt>
            <c:idx val="2"/>
            <c:bubble3D val="0"/>
            <c:spPr>
              <a:ln w="31750">
                <a:solidFill>
                  <a:srgbClr val="14213D"/>
                </a:solidFill>
                <a:prstDash val="solid"/>
              </a:ln>
            </c:spPr>
            <c:extLst>
              <c:ext xmlns:c16="http://schemas.microsoft.com/office/drawing/2014/chart" uri="{C3380CC4-5D6E-409C-BE32-E72D297353CC}">
                <c16:uniqueId val="{00000005-3945-954C-B5A3-598134654C01}"/>
              </c:ext>
            </c:extLst>
          </c:dPt>
          <c:dPt>
            <c:idx val="3"/>
            <c:bubble3D val="0"/>
            <c:spPr>
              <a:ln w="31750">
                <a:solidFill>
                  <a:srgbClr val="14213D"/>
                </a:solidFill>
                <a:prstDash val="solid"/>
              </a:ln>
            </c:spPr>
            <c:extLst>
              <c:ext xmlns:c16="http://schemas.microsoft.com/office/drawing/2014/chart" uri="{C3380CC4-5D6E-409C-BE32-E72D297353CC}">
                <c16:uniqueId val="{00000007-3945-954C-B5A3-598134654C01}"/>
              </c:ext>
            </c:extLst>
          </c:dPt>
          <c:dPt>
            <c:idx val="4"/>
            <c:bubble3D val="0"/>
            <c:spPr>
              <a:ln w="31750">
                <a:solidFill>
                  <a:srgbClr val="14213D"/>
                </a:solidFill>
                <a:prstDash val="solid"/>
              </a:ln>
            </c:spPr>
            <c:extLst>
              <c:ext xmlns:c16="http://schemas.microsoft.com/office/drawing/2014/chart" uri="{C3380CC4-5D6E-409C-BE32-E72D297353CC}">
                <c16:uniqueId val="{00000009-3945-954C-B5A3-598134654C01}"/>
              </c:ext>
            </c:extLst>
          </c:dPt>
          <c:dPt>
            <c:idx val="5"/>
            <c:bubble3D val="0"/>
            <c:spPr>
              <a:ln w="31750">
                <a:solidFill>
                  <a:srgbClr val="14213D"/>
                </a:solidFill>
                <a:prstDash val="solid"/>
              </a:ln>
            </c:spPr>
            <c:extLst>
              <c:ext xmlns:c16="http://schemas.microsoft.com/office/drawing/2014/chart" uri="{C3380CC4-5D6E-409C-BE32-E72D297353CC}">
                <c16:uniqueId val="{0000000B-3945-954C-B5A3-598134654C01}"/>
              </c:ext>
            </c:extLst>
          </c:dPt>
          <c:dPt>
            <c:idx val="6"/>
            <c:bubble3D val="0"/>
            <c:spPr>
              <a:ln w="31750">
                <a:solidFill>
                  <a:srgbClr val="14213D"/>
                </a:solidFill>
                <a:prstDash val="solid"/>
              </a:ln>
            </c:spPr>
            <c:extLst>
              <c:ext xmlns:c16="http://schemas.microsoft.com/office/drawing/2014/chart" uri="{C3380CC4-5D6E-409C-BE32-E72D297353CC}">
                <c16:uniqueId val="{0000000D-3945-954C-B5A3-598134654C01}"/>
              </c:ext>
            </c:extLst>
          </c:dPt>
          <c:dPt>
            <c:idx val="7"/>
            <c:bubble3D val="0"/>
            <c:spPr>
              <a:ln w="31750">
                <a:solidFill>
                  <a:srgbClr val="14213D"/>
                </a:solidFill>
                <a:prstDash val="solid"/>
              </a:ln>
            </c:spPr>
            <c:extLst>
              <c:ext xmlns:c16="http://schemas.microsoft.com/office/drawing/2014/chart" uri="{C3380CC4-5D6E-409C-BE32-E72D297353CC}">
                <c16:uniqueId val="{0000000F-3945-954C-B5A3-598134654C01}"/>
              </c:ext>
            </c:extLst>
          </c:dPt>
          <c:dPt>
            <c:idx val="8"/>
            <c:bubble3D val="0"/>
            <c:spPr>
              <a:ln w="31750">
                <a:solidFill>
                  <a:srgbClr val="14213D"/>
                </a:solidFill>
                <a:prstDash val="solid"/>
              </a:ln>
            </c:spPr>
            <c:extLst>
              <c:ext xmlns:c16="http://schemas.microsoft.com/office/drawing/2014/chart" uri="{C3380CC4-5D6E-409C-BE32-E72D297353CC}">
                <c16:uniqueId val="{00000011-3945-954C-B5A3-598134654C01}"/>
              </c:ext>
            </c:extLst>
          </c:dPt>
          <c:dPt>
            <c:idx val="9"/>
            <c:bubble3D val="0"/>
            <c:spPr>
              <a:ln w="31750">
                <a:solidFill>
                  <a:srgbClr val="14213D"/>
                </a:solidFill>
                <a:prstDash val="solid"/>
              </a:ln>
            </c:spPr>
            <c:extLst>
              <c:ext xmlns:c16="http://schemas.microsoft.com/office/drawing/2014/chart" uri="{C3380CC4-5D6E-409C-BE32-E72D297353CC}">
                <c16:uniqueId val="{00000013-3945-954C-B5A3-598134654C01}"/>
              </c:ext>
            </c:extLst>
          </c:dPt>
          <c:dPt>
            <c:idx val="10"/>
            <c:bubble3D val="0"/>
            <c:spPr>
              <a:ln w="31750">
                <a:solidFill>
                  <a:srgbClr val="14213D"/>
                </a:solidFill>
                <a:prstDash val="solid"/>
              </a:ln>
            </c:spPr>
            <c:extLst>
              <c:ext xmlns:c16="http://schemas.microsoft.com/office/drawing/2014/chart" uri="{C3380CC4-5D6E-409C-BE32-E72D297353CC}">
                <c16:uniqueId val="{00000015-3945-954C-B5A3-598134654C01}"/>
              </c:ext>
            </c:extLst>
          </c:dPt>
          <c:dPt>
            <c:idx val="11"/>
            <c:bubble3D val="0"/>
            <c:spPr>
              <a:ln w="31750">
                <a:solidFill>
                  <a:srgbClr val="14213D"/>
                </a:solidFill>
                <a:prstDash val="solid"/>
              </a:ln>
            </c:spPr>
            <c:extLst>
              <c:ext xmlns:c16="http://schemas.microsoft.com/office/drawing/2014/chart" uri="{C3380CC4-5D6E-409C-BE32-E72D297353CC}">
                <c16:uniqueId val="{00000017-3945-954C-B5A3-598134654C01}"/>
              </c:ext>
            </c:extLst>
          </c:dPt>
          <c:cat>
            <c:numRef>
              <c:f>Calculations!$B$36:$B$47</c:f>
              <c:numCache>
                <c:formatCode>mmm\ yyyy</c:formatCode>
                <c:ptCount val="12"/>
                <c:pt idx="0">
                  <c:v>46143</c:v>
                </c:pt>
                <c:pt idx="1">
                  <c:v>46174</c:v>
                </c:pt>
                <c:pt idx="2">
                  <c:v>46204</c:v>
                </c:pt>
                <c:pt idx="3">
                  <c:v>46235</c:v>
                </c:pt>
                <c:pt idx="4">
                  <c:v>46266</c:v>
                </c:pt>
                <c:pt idx="5">
                  <c:v>46296</c:v>
                </c:pt>
                <c:pt idx="6">
                  <c:v>46327</c:v>
                </c:pt>
                <c:pt idx="7">
                  <c:v>46357</c:v>
                </c:pt>
                <c:pt idx="8">
                  <c:v>46388</c:v>
                </c:pt>
                <c:pt idx="9">
                  <c:v>46419</c:v>
                </c:pt>
                <c:pt idx="10">
                  <c:v>46447</c:v>
                </c:pt>
                <c:pt idx="11">
                  <c:v>46478</c:v>
                </c:pt>
              </c:numCache>
            </c:numRef>
          </c:cat>
          <c:val>
            <c:numRef>
              <c:f>Calculations!$D$36:$D$47</c:f>
              <c:numCache>
                <c:formatCode>0.0</c:formatCode>
                <c:ptCount val="12"/>
                <c:pt idx="0">
                  <c:v>2.6237537169844325</c:v>
                </c:pt>
                <c:pt idx="1">
                  <c:v>2.9517229316074864</c:v>
                </c:pt>
                <c:pt idx="2">
                  <c:v>2.7877383242959595</c:v>
                </c:pt>
                <c:pt idx="3">
                  <c:v>3.2068100985365287</c:v>
                </c:pt>
                <c:pt idx="4">
                  <c:v>3.5347793131595826</c:v>
                </c:pt>
                <c:pt idx="5">
                  <c:v>3.8263075039356309</c:v>
                </c:pt>
                <c:pt idx="6">
                  <c:v>#N/A</c:v>
                </c:pt>
                <c:pt idx="7">
                  <c:v>#N/A</c:v>
                </c:pt>
                <c:pt idx="8">
                  <c:v>#N/A</c:v>
                </c:pt>
                <c:pt idx="9">
                  <c:v>#N/A</c:v>
                </c:pt>
                <c:pt idx="10">
                  <c:v>#N/A</c:v>
                </c:pt>
                <c:pt idx="11">
                  <c:v>#N/A</c:v>
                </c:pt>
              </c:numCache>
            </c:numRef>
          </c:val>
          <c:smooth val="0"/>
          <c:extLst>
            <c:ext xmlns:c16="http://schemas.microsoft.com/office/drawing/2014/chart" uri="{C3380CC4-5D6E-409C-BE32-E72D297353CC}">
              <c16:uniqueId val="{00000018-3945-954C-B5A3-598134654C01}"/>
            </c:ext>
          </c:extLst>
        </c:ser>
        <c:ser>
          <c:idx val="1"/>
          <c:order val="1"/>
          <c:tx>
            <c:v>Your target</c:v>
          </c:tx>
          <c:spPr>
            <a:ln w="25400">
              <a:solidFill>
                <a:srgbClr val="C9A84C"/>
              </a:solidFill>
              <a:prstDash val="dash"/>
            </a:ln>
          </c:spPr>
          <c:marker>
            <c:symbol val="none"/>
          </c:marker>
          <c:cat>
            <c:numRef>
              <c:f>Calculations!$B$36:$B$47</c:f>
              <c:numCache>
                <c:formatCode>mmm\ yyyy</c:formatCode>
                <c:ptCount val="12"/>
                <c:pt idx="0">
                  <c:v>46143</c:v>
                </c:pt>
                <c:pt idx="1">
                  <c:v>46174</c:v>
                </c:pt>
                <c:pt idx="2">
                  <c:v>46204</c:v>
                </c:pt>
                <c:pt idx="3">
                  <c:v>46235</c:v>
                </c:pt>
                <c:pt idx="4">
                  <c:v>46266</c:v>
                </c:pt>
                <c:pt idx="5">
                  <c:v>46296</c:v>
                </c:pt>
                <c:pt idx="6">
                  <c:v>46327</c:v>
                </c:pt>
                <c:pt idx="7">
                  <c:v>46357</c:v>
                </c:pt>
                <c:pt idx="8">
                  <c:v>46388</c:v>
                </c:pt>
                <c:pt idx="9">
                  <c:v>46419</c:v>
                </c:pt>
                <c:pt idx="10">
                  <c:v>46447</c:v>
                </c:pt>
                <c:pt idx="11">
                  <c:v>46478</c:v>
                </c:pt>
              </c:numCache>
            </c:numRef>
          </c:cat>
          <c:val>
            <c:numRef>
              <c:f>Tracker!$G$8:$G$19</c:f>
              <c:numCache>
                <c:formatCode>0.0</c:formatCode>
                <c:ptCount val="12"/>
                <c:pt idx="0">
                  <c:v>8</c:v>
                </c:pt>
                <c:pt idx="1">
                  <c:v>8</c:v>
                </c:pt>
                <c:pt idx="2">
                  <c:v>8</c:v>
                </c:pt>
                <c:pt idx="3">
                  <c:v>8</c:v>
                </c:pt>
                <c:pt idx="4">
                  <c:v>8</c:v>
                </c:pt>
                <c:pt idx="5">
                  <c:v>8</c:v>
                </c:pt>
                <c:pt idx="6">
                  <c:v>8</c:v>
                </c:pt>
                <c:pt idx="7">
                  <c:v>8</c:v>
                </c:pt>
                <c:pt idx="8">
                  <c:v>8</c:v>
                </c:pt>
                <c:pt idx="9">
                  <c:v>8</c:v>
                </c:pt>
                <c:pt idx="10">
                  <c:v>8</c:v>
                </c:pt>
                <c:pt idx="11">
                  <c:v>8</c:v>
                </c:pt>
              </c:numCache>
            </c:numRef>
          </c:val>
          <c:smooth val="0"/>
          <c:extLst>
            <c:ext xmlns:c16="http://schemas.microsoft.com/office/drawing/2014/chart" uri="{C3380CC4-5D6E-409C-BE32-E72D297353CC}">
              <c16:uniqueId val="{00000019-3945-954C-B5A3-598134654C01}"/>
            </c:ext>
          </c:extLst>
        </c:ser>
        <c:ser>
          <c:idx val="2"/>
          <c:order val="2"/>
          <c:tx>
            <c:v>Your red line</c:v>
          </c:tx>
          <c:spPr>
            <a:ln w="19050">
              <a:solidFill>
                <a:srgbClr val="B4546A"/>
              </a:solidFill>
              <a:prstDash val="sysDot"/>
            </a:ln>
          </c:spPr>
          <c:marker>
            <c:symbol val="none"/>
          </c:marker>
          <c:cat>
            <c:numRef>
              <c:f>Calculations!$B$36:$B$47</c:f>
              <c:numCache>
                <c:formatCode>mmm\ yyyy</c:formatCode>
                <c:ptCount val="12"/>
                <c:pt idx="0">
                  <c:v>46143</c:v>
                </c:pt>
                <c:pt idx="1">
                  <c:v>46174</c:v>
                </c:pt>
                <c:pt idx="2">
                  <c:v>46204</c:v>
                </c:pt>
                <c:pt idx="3">
                  <c:v>46235</c:v>
                </c:pt>
                <c:pt idx="4">
                  <c:v>46266</c:v>
                </c:pt>
                <c:pt idx="5">
                  <c:v>46296</c:v>
                </c:pt>
                <c:pt idx="6">
                  <c:v>46327</c:v>
                </c:pt>
                <c:pt idx="7">
                  <c:v>46357</c:v>
                </c:pt>
                <c:pt idx="8">
                  <c:v>46388</c:v>
                </c:pt>
                <c:pt idx="9">
                  <c:v>46419</c:v>
                </c:pt>
                <c:pt idx="10">
                  <c:v>46447</c:v>
                </c:pt>
                <c:pt idx="11">
                  <c:v>46478</c:v>
                </c:pt>
              </c:numCache>
            </c:numRef>
          </c:cat>
          <c:val>
            <c:numRef>
              <c:f>Tracker!$H$8:$H$19</c:f>
              <c:numCache>
                <c:formatCode>0.0</c:formatCode>
                <c:ptCount val="12"/>
                <c:pt idx="0">
                  <c:v>3</c:v>
                </c:pt>
                <c:pt idx="1">
                  <c:v>3</c:v>
                </c:pt>
                <c:pt idx="2">
                  <c:v>3</c:v>
                </c:pt>
                <c:pt idx="3">
                  <c:v>3</c:v>
                </c:pt>
                <c:pt idx="4">
                  <c:v>3</c:v>
                </c:pt>
                <c:pt idx="5">
                  <c:v>3</c:v>
                </c:pt>
                <c:pt idx="6">
                  <c:v>3</c:v>
                </c:pt>
                <c:pt idx="7">
                  <c:v>3</c:v>
                </c:pt>
                <c:pt idx="8">
                  <c:v>3</c:v>
                </c:pt>
                <c:pt idx="9">
                  <c:v>3</c:v>
                </c:pt>
                <c:pt idx="10">
                  <c:v>3</c:v>
                </c:pt>
                <c:pt idx="11">
                  <c:v>3</c:v>
                </c:pt>
              </c:numCache>
            </c:numRef>
          </c:val>
          <c:smooth val="0"/>
          <c:extLst>
            <c:ext xmlns:c16="http://schemas.microsoft.com/office/drawing/2014/chart" uri="{C3380CC4-5D6E-409C-BE32-E72D297353CC}">
              <c16:uniqueId val="{0000001A-3945-954C-B5A3-598134654C01}"/>
            </c:ext>
          </c:extLst>
        </c:ser>
        <c:dLbls>
          <c:showLegendKey val="0"/>
          <c:showVal val="0"/>
          <c:showCatName val="0"/>
          <c:showSerName val="0"/>
          <c:showPercent val="0"/>
          <c:showBubbleSize val="0"/>
        </c:dLbls>
        <c:marker val="1"/>
        <c:smooth val="0"/>
        <c:axId val="10"/>
        <c:axId val="100"/>
      </c:lineChart>
      <c:dateAx>
        <c:axId val="10"/>
        <c:scaling>
          <c:orientation val="minMax"/>
        </c:scaling>
        <c:delete val="0"/>
        <c:axPos val="b"/>
        <c:numFmt formatCode="mmm\ yy" sourceLinked="0"/>
        <c:majorTickMark val="none"/>
        <c:minorTickMark val="none"/>
        <c:tickLblPos val="low"/>
        <c:spPr>
          <a:ln w="9525">
            <a:solidFill>
              <a:srgbClr val="9AA1AC"/>
            </a:solidFill>
            <a:prstDash val="solid"/>
          </a:ln>
        </c:spPr>
        <c:txPr>
          <a:bodyPr/>
          <a:lstStyle/>
          <a:p>
            <a:pPr>
              <a:defRPr sz="900">
                <a:solidFill>
                  <a:srgbClr val="5F6673"/>
                </a:solidFill>
                <a:latin typeface="Aptos"/>
              </a:defRPr>
            </a:pPr>
            <a:endParaRPr lang="en-US"/>
          </a:p>
        </c:txPr>
        <c:crossAx val="100"/>
        <c:crosses val="autoZero"/>
        <c:auto val="1"/>
        <c:lblOffset val="100"/>
        <c:baseTimeUnit val="months"/>
      </c:dateAx>
      <c:valAx>
        <c:axId val="100"/>
        <c:scaling>
          <c:orientation val="minMax"/>
          <c:min val="0"/>
        </c:scaling>
        <c:delete val="0"/>
        <c:axPos val="l"/>
        <c:majorGridlines>
          <c:spPr>
            <a:ln w="6350">
              <a:solidFill>
                <a:srgbClr val="E3E6EB"/>
              </a:solidFill>
              <a:prstDash val="solid"/>
            </a:ln>
          </c:spPr>
        </c:majorGridlines>
        <c:numFmt formatCode="0" sourceLinked="0"/>
        <c:majorTickMark val="none"/>
        <c:minorTickMark val="none"/>
        <c:tickLblPos val="nextTo"/>
        <c:spPr>
          <a:ln>
            <a:noFill/>
            <a:prstDash val="solid"/>
          </a:ln>
        </c:spPr>
        <c:txPr>
          <a:bodyPr/>
          <a:lstStyle/>
          <a:p>
            <a:pPr>
              <a:defRPr sz="900">
                <a:solidFill>
                  <a:srgbClr val="5F6673"/>
                </a:solidFill>
                <a:latin typeface="Aptos"/>
              </a:defRPr>
            </a:pPr>
            <a:endParaRPr lang="en-US"/>
          </a:p>
        </c:txPr>
        <c:crossAx val="10"/>
        <c:crosses val="autoZero"/>
        <c:crossBetween val="between"/>
        <c:majorUnit val="2"/>
      </c:valAx>
    </c:plotArea>
    <c:legend>
      <c:legendPos val="t"/>
      <c:overlay val="0"/>
      <c:txPr>
        <a:bodyPr/>
        <a:lstStyle/>
        <a:p>
          <a:pPr>
            <a:defRPr sz="900">
              <a:solidFill>
                <a:srgbClr val="1B2230"/>
              </a:solidFill>
              <a:latin typeface="Aptos"/>
            </a:defRPr>
          </a:pPr>
          <a:endParaRPr lang="en-US"/>
        </a:p>
      </c:txPr>
    </c:legend>
    <c:plotVisOnly val="1"/>
    <c:dispBlanksAs val="gap"/>
    <c:showDLblsOverMax val="1"/>
  </c:chart>
  <c:spPr>
    <a:ln>
      <a:no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autoTitleDeleted val="1"/>
    <c:plotArea>
      <c:layout/>
      <c:barChart>
        <c:barDir val="bar"/>
        <c:grouping val="clustered"/>
        <c:varyColors val="0"/>
        <c:ser>
          <c:idx val="0"/>
          <c:order val="0"/>
          <c:tx>
            <c:v>Per week</c:v>
          </c:tx>
          <c:spPr>
            <a:solidFill>
              <a:srgbClr val="14213D"/>
            </a:solidFill>
            <a:ln>
              <a:solidFill>
                <a:srgbClr val="14213D"/>
              </a:solidFill>
              <a:prstDash val="solid"/>
            </a:ln>
          </c:spPr>
          <c:invertIfNegative val="1"/>
          <c:dLbls>
            <c:spPr>
              <a:noFill/>
              <a:ln>
                <a:noFill/>
              </a:ln>
              <a:effectLst/>
            </c:spPr>
            <c:txPr>
              <a:bodyPr/>
              <a:lstStyle/>
              <a:p>
                <a:pPr>
                  <a:defRPr sz="900">
                    <a:solidFill>
                      <a:srgbClr val="1B2230"/>
                    </a:solidFill>
                    <a:latin typeface="Aptos"/>
                  </a:defRPr>
                </a:pPr>
                <a:endParaRPr lang="en-US"/>
              </a:p>
            </c:txPr>
            <c:dLblPos val="outEnd"/>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Calculations!$B$8:$B$11</c:f>
              <c:strCache>
                <c:ptCount val="4"/>
                <c:pt idx="0">
                  <c:v>Gross wages per week</c:v>
                </c:pt>
                <c:pt idx="1">
                  <c:v>Super guarantee per week</c:v>
                </c:pt>
                <c:pt idx="2">
                  <c:v>Payroll tax per week</c:v>
                </c:pt>
                <c:pt idx="3">
                  <c:v>Workers compensation per week</c:v>
                </c:pt>
              </c:strCache>
            </c:strRef>
          </c:cat>
          <c:val>
            <c:numRef>
              <c:f>Calculations!$D$8:$D$11</c:f>
              <c:numCache>
                <c:formatCode>"$"#,##0;[Red]\-"$"#,##0;"$"0</c:formatCode>
                <c:ptCount val="4"/>
                <c:pt idx="0">
                  <c:v>24000</c:v>
                </c:pt>
                <c:pt idx="1">
                  <c:v>2880</c:v>
                </c:pt>
                <c:pt idx="2">
                  <c:v>201.6</c:v>
                </c:pt>
                <c:pt idx="3">
                  <c:v>360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4213D"/>
                    </a:solidFill>
                    <a:prstDash val="solid"/>
                  </a:ln>
                </c14:spPr>
              </c14:invertSolidFillFmt>
            </c:ext>
            <c:ext xmlns:c16="http://schemas.microsoft.com/office/drawing/2014/chart" uri="{C3380CC4-5D6E-409C-BE32-E72D297353CC}">
              <c16:uniqueId val="{00000000-A5B7-9D4B-80D2-1EAB5C32F692}"/>
            </c:ext>
          </c:extLst>
        </c:ser>
        <c:dLbls>
          <c:showLegendKey val="0"/>
          <c:showVal val="0"/>
          <c:showCatName val="0"/>
          <c:showSerName val="0"/>
          <c:showPercent val="0"/>
          <c:showBubbleSize val="0"/>
        </c:dLbls>
        <c:gapWidth val="50"/>
        <c:axId val="10"/>
        <c:axId val="100"/>
      </c:barChart>
      <c:catAx>
        <c:axId val="10"/>
        <c:scaling>
          <c:orientation val="maxMin"/>
        </c:scaling>
        <c:delete val="0"/>
        <c:axPos val="l"/>
        <c:numFmt formatCode="General" sourceLinked="1"/>
        <c:majorTickMark val="none"/>
        <c:minorTickMark val="none"/>
        <c:tickLblPos val="low"/>
        <c:spPr>
          <a:ln w="9525">
            <a:solidFill>
              <a:srgbClr val="9AA1AC"/>
            </a:solidFill>
            <a:prstDash val="solid"/>
          </a:ln>
        </c:spPr>
        <c:txPr>
          <a:bodyPr/>
          <a:lstStyle/>
          <a:p>
            <a:pPr>
              <a:defRPr sz="900">
                <a:solidFill>
                  <a:srgbClr val="5F6673"/>
                </a:solidFill>
                <a:latin typeface="Aptos"/>
              </a:defRPr>
            </a:pPr>
            <a:endParaRPr lang="en-US"/>
          </a:p>
        </c:txPr>
        <c:crossAx val="100"/>
        <c:crosses val="autoZero"/>
        <c:auto val="1"/>
        <c:lblAlgn val="ctr"/>
        <c:lblOffset val="100"/>
        <c:noMultiLvlLbl val="1"/>
      </c:catAx>
      <c:valAx>
        <c:axId val="100"/>
        <c:scaling>
          <c:orientation val="minMax"/>
        </c:scaling>
        <c:delete val="1"/>
        <c:axPos val="b"/>
        <c:numFmt formatCode="&quot;$&quot;#,##0,&quot;k&quot;;\-&quot;$&quot;#,##0,&quot;k&quot;;&quot;$&quot;0" sourceLinked="0"/>
        <c:majorTickMark val="none"/>
        <c:minorTickMark val="none"/>
        <c:tickLblPos val="nextTo"/>
        <c:crossAx val="10"/>
        <c:crosses val="max"/>
        <c:crossBetween val="between"/>
      </c:valAx>
    </c:plotArea>
    <c:plotVisOnly val="1"/>
    <c:dispBlanksAs val="gap"/>
    <c:showDLblsOverMax val="1"/>
  </c:chart>
  <c:spPr>
    <a:ln>
      <a:no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18</xdr:row>
      <xdr:rowOff>60000</xdr:rowOff>
    </xdr:from>
    <xdr:to>
      <xdr:col>9</xdr:col>
      <xdr:colOff>0</xdr:colOff>
      <xdr:row>34</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110000</xdr:colOff>
      <xdr:row>18</xdr:row>
      <xdr:rowOff>60000</xdr:rowOff>
    </xdr:from>
    <xdr:to>
      <xdr:col>16</xdr:col>
      <xdr:colOff>0</xdr:colOff>
      <xdr:row>34</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Apto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4213D"/>
    <pageSetUpPr fitToPage="1"/>
  </sheetPr>
  <dimension ref="B1:I48"/>
  <sheetViews>
    <sheetView showGridLines="0" tabSelected="1" workbookViewId="0"/>
  </sheetViews>
  <sheetFormatPr baseColWidth="10" defaultColWidth="9" defaultRowHeight="18" customHeight="1" x14ac:dyDescent="0.2"/>
  <cols>
    <col min="1" max="1" width="2.3984375" customWidth="1"/>
    <col min="2" max="2" width="5" customWidth="1"/>
    <col min="3" max="3" width="30" customWidth="1"/>
    <col min="4" max="9" width="16" customWidth="1"/>
    <col min="10" max="10" width="3" customWidth="1"/>
  </cols>
  <sheetData>
    <row r="1" spans="2:9" ht="14" x14ac:dyDescent="0.2"/>
    <row r="2" spans="2:9" ht="14" customHeight="1" x14ac:dyDescent="0.2">
      <c r="B2" s="1"/>
      <c r="C2" s="1"/>
      <c r="D2" s="1"/>
      <c r="E2" s="1"/>
      <c r="F2" s="1"/>
      <c r="G2" s="1"/>
      <c r="H2" s="1"/>
      <c r="I2" s="1"/>
    </row>
    <row r="3" spans="2:9" ht="22" customHeight="1" x14ac:dyDescent="0.2">
      <c r="B3" s="1"/>
      <c r="C3" s="2" t="s">
        <v>0</v>
      </c>
      <c r="D3" s="1"/>
      <c r="E3" s="1"/>
      <c r="F3" s="1"/>
      <c r="G3" s="1"/>
      <c r="H3" s="1"/>
      <c r="I3" s="1"/>
    </row>
    <row r="4" spans="2:9" ht="40" customHeight="1" x14ac:dyDescent="0.2">
      <c r="B4" s="1"/>
      <c r="C4" s="3" t="s">
        <v>1</v>
      </c>
      <c r="D4" s="1"/>
      <c r="E4" s="1"/>
      <c r="F4" s="1"/>
      <c r="G4" s="1"/>
      <c r="H4" s="1"/>
      <c r="I4" s="1"/>
    </row>
    <row r="5" spans="2:9" ht="24" customHeight="1" x14ac:dyDescent="0.2">
      <c r="B5" s="1"/>
      <c r="C5" s="4" t="s">
        <v>2</v>
      </c>
      <c r="D5" s="1"/>
      <c r="E5" s="1"/>
      <c r="F5" s="1"/>
      <c r="G5" s="1"/>
      <c r="H5" s="1"/>
      <c r="I5" s="1"/>
    </row>
    <row r="6" spans="2:9" ht="14" customHeight="1" x14ac:dyDescent="0.2">
      <c r="B6" s="1"/>
      <c r="C6" s="1"/>
      <c r="D6" s="1"/>
      <c r="E6" s="1"/>
      <c r="F6" s="1"/>
      <c r="G6" s="1"/>
      <c r="H6" s="1"/>
      <c r="I6" s="1"/>
    </row>
    <row r="7" spans="2:9" ht="14" x14ac:dyDescent="0.2">
      <c r="B7" s="5"/>
      <c r="C7" s="5"/>
      <c r="D7" s="5"/>
      <c r="E7" s="5"/>
      <c r="F7" s="5"/>
      <c r="G7" s="5"/>
      <c r="H7" s="5"/>
      <c r="I7" s="5"/>
    </row>
    <row r="8" spans="2:9" ht="14" x14ac:dyDescent="0.2">
      <c r="C8" s="6" t="s">
        <v>3</v>
      </c>
      <c r="D8" s="7" t="s">
        <v>4</v>
      </c>
    </row>
    <row r="9" spans="2:9" ht="14" x14ac:dyDescent="0.2">
      <c r="C9" s="6" t="s">
        <v>5</v>
      </c>
      <c r="D9" s="7" t="s">
        <v>6</v>
      </c>
    </row>
    <row r="10" spans="2:9" ht="14" x14ac:dyDescent="0.2">
      <c r="C10" s="6" t="s">
        <v>7</v>
      </c>
      <c r="D10" s="7" t="s">
        <v>8</v>
      </c>
    </row>
    <row r="11" spans="2:9" ht="14" x14ac:dyDescent="0.2">
      <c r="C11" s="6" t="s">
        <v>9</v>
      </c>
      <c r="D11" s="7" t="s">
        <v>10</v>
      </c>
    </row>
    <row r="12" spans="2:9" ht="14" x14ac:dyDescent="0.2"/>
    <row r="13" spans="2:9" ht="30" customHeight="1" x14ac:dyDescent="0.2">
      <c r="C13" s="6" t="s">
        <v>11</v>
      </c>
      <c r="D13" s="8" t="str">
        <f>IF(Checks!$D$5=0,"Ready","Needs attention")</f>
        <v>Ready</v>
      </c>
      <c r="E13" s="77" t="str">
        <f>IF(Checks!$D$5=0,"All "&amp;Checks!$D$6&amp;" checks pass. The figures are ready to read on the Dashboard.",Checks!$D$5&amp;" of "&amp;Checks!$D$6&amp;" checks need a fix. Open the Checks sheet to see which.")</f>
        <v>All 14 checks pass. The figures are ready to read on the Dashboard.</v>
      </c>
      <c r="F13" s="69"/>
      <c r="G13" s="69"/>
      <c r="H13" s="69"/>
      <c r="I13" s="69"/>
    </row>
    <row r="14" spans="2:9" ht="14" x14ac:dyDescent="0.2"/>
    <row r="15" spans="2:9" ht="22" customHeight="1" x14ac:dyDescent="0.2">
      <c r="B15" s="9" t="s">
        <v>12</v>
      </c>
      <c r="C15" s="1"/>
      <c r="D15" s="1"/>
      <c r="E15" s="1"/>
      <c r="F15" s="1"/>
      <c r="G15" s="1"/>
      <c r="H15" s="1"/>
      <c r="I15" s="1"/>
    </row>
    <row r="16" spans="2:9" ht="32" customHeight="1" x14ac:dyDescent="0.2">
      <c r="B16" s="10">
        <v>1</v>
      </c>
      <c r="C16" s="70" t="s">
        <v>13</v>
      </c>
      <c r="D16" s="71"/>
      <c r="E16" s="71"/>
      <c r="F16" s="71"/>
      <c r="G16" s="71"/>
      <c r="H16" s="71"/>
      <c r="I16" s="71"/>
    </row>
    <row r="17" spans="2:9" ht="32" customHeight="1" x14ac:dyDescent="0.2">
      <c r="B17" s="10">
        <v>2</v>
      </c>
      <c r="C17" s="70" t="s">
        <v>14</v>
      </c>
      <c r="D17" s="71"/>
      <c r="E17" s="71"/>
      <c r="F17" s="71"/>
      <c r="G17" s="71"/>
      <c r="H17" s="71"/>
      <c r="I17" s="71"/>
    </row>
    <row r="18" spans="2:9" ht="32" customHeight="1" x14ac:dyDescent="0.2">
      <c r="B18" s="10">
        <v>3</v>
      </c>
      <c r="C18" s="70" t="s">
        <v>15</v>
      </c>
      <c r="D18" s="71"/>
      <c r="E18" s="71"/>
      <c r="F18" s="71"/>
      <c r="G18" s="71"/>
      <c r="H18" s="71"/>
      <c r="I18" s="71"/>
    </row>
    <row r="19" spans="2:9" ht="32" customHeight="1" x14ac:dyDescent="0.2">
      <c r="B19" s="10">
        <v>4</v>
      </c>
      <c r="C19" s="70" t="s">
        <v>16</v>
      </c>
      <c r="D19" s="71"/>
      <c r="E19" s="71"/>
      <c r="F19" s="71"/>
      <c r="G19" s="71"/>
      <c r="H19" s="71"/>
      <c r="I19" s="71"/>
    </row>
    <row r="20" spans="2:9" ht="32" customHeight="1" x14ac:dyDescent="0.2">
      <c r="B20" s="10">
        <v>5</v>
      </c>
      <c r="C20" s="70" t="s">
        <v>17</v>
      </c>
      <c r="D20" s="71"/>
      <c r="E20" s="71"/>
      <c r="F20" s="71"/>
      <c r="G20" s="71"/>
      <c r="H20" s="71"/>
      <c r="I20" s="71"/>
    </row>
    <row r="21" spans="2:9" ht="14" x14ac:dyDescent="0.2"/>
    <row r="22" spans="2:9" ht="22" customHeight="1" x14ac:dyDescent="0.2">
      <c r="B22" s="9" t="s">
        <v>18</v>
      </c>
      <c r="C22" s="1"/>
      <c r="D22" s="1"/>
      <c r="E22" s="1"/>
      <c r="F22" s="1"/>
      <c r="G22" s="1"/>
      <c r="H22" s="1"/>
      <c r="I22" s="1"/>
    </row>
    <row r="23" spans="2:9" ht="14" x14ac:dyDescent="0.2">
      <c r="B23" s="12"/>
      <c r="C23" s="13" t="s">
        <v>19</v>
      </c>
      <c r="D23" s="13" t="s">
        <v>20</v>
      </c>
      <c r="E23" s="75" t="s">
        <v>21</v>
      </c>
      <c r="F23" s="76"/>
      <c r="G23" s="76"/>
      <c r="H23" s="76"/>
      <c r="I23" s="76"/>
    </row>
    <row r="24" spans="2:9" ht="30" customHeight="1" x14ac:dyDescent="0.2">
      <c r="B24" s="14"/>
      <c r="C24" s="15" t="s">
        <v>22</v>
      </c>
      <c r="D24" s="16" t="s">
        <v>23</v>
      </c>
      <c r="E24" s="70" t="s">
        <v>24</v>
      </c>
      <c r="F24" s="71"/>
      <c r="G24" s="71"/>
      <c r="H24" s="71"/>
      <c r="I24" s="71"/>
    </row>
    <row r="25" spans="2:9" ht="30" customHeight="1" x14ac:dyDescent="0.2">
      <c r="B25" s="17"/>
      <c r="C25" s="15" t="s">
        <v>25</v>
      </c>
      <c r="D25" s="16" t="s">
        <v>26</v>
      </c>
      <c r="E25" s="70" t="s">
        <v>27</v>
      </c>
      <c r="F25" s="71"/>
      <c r="G25" s="71"/>
      <c r="H25" s="71"/>
      <c r="I25" s="71"/>
    </row>
    <row r="26" spans="2:9" ht="30" customHeight="1" x14ac:dyDescent="0.2">
      <c r="B26" s="18"/>
      <c r="C26" s="15" t="s">
        <v>28</v>
      </c>
      <c r="D26" s="16" t="s">
        <v>29</v>
      </c>
      <c r="E26" s="70" t="s">
        <v>30</v>
      </c>
      <c r="F26" s="71"/>
      <c r="G26" s="71"/>
      <c r="H26" s="71"/>
      <c r="I26" s="71"/>
    </row>
    <row r="27" spans="2:9" ht="30" customHeight="1" x14ac:dyDescent="0.2">
      <c r="B27" s="17"/>
      <c r="C27" s="15" t="s">
        <v>31</v>
      </c>
      <c r="D27" s="16" t="s">
        <v>26</v>
      </c>
      <c r="E27" s="70" t="s">
        <v>32</v>
      </c>
      <c r="F27" s="71"/>
      <c r="G27" s="71"/>
      <c r="H27" s="71"/>
      <c r="I27" s="71"/>
    </row>
    <row r="28" spans="2:9" ht="30" customHeight="1" x14ac:dyDescent="0.2">
      <c r="B28" s="19"/>
      <c r="C28" s="15" t="s">
        <v>33</v>
      </c>
      <c r="D28" s="16" t="s">
        <v>34</v>
      </c>
      <c r="E28" s="70" t="s">
        <v>35</v>
      </c>
      <c r="F28" s="71"/>
      <c r="G28" s="71"/>
      <c r="H28" s="71"/>
      <c r="I28" s="71"/>
    </row>
    <row r="29" spans="2:9" ht="30" customHeight="1" x14ac:dyDescent="0.2">
      <c r="B29" s="20"/>
      <c r="C29" s="15" t="s">
        <v>36</v>
      </c>
      <c r="D29" s="16" t="s">
        <v>36</v>
      </c>
      <c r="E29" s="70" t="s">
        <v>37</v>
      </c>
      <c r="F29" s="71"/>
      <c r="G29" s="71"/>
      <c r="H29" s="71"/>
      <c r="I29" s="71"/>
    </row>
    <row r="30" spans="2:9" ht="14" x14ac:dyDescent="0.2"/>
    <row r="31" spans="2:9" ht="22" customHeight="1" x14ac:dyDescent="0.2">
      <c r="B31" s="9" t="s">
        <v>38</v>
      </c>
      <c r="C31" s="1"/>
      <c r="D31" s="1"/>
      <c r="E31" s="1"/>
      <c r="F31" s="1"/>
      <c r="G31" s="1"/>
      <c r="H31" s="1"/>
      <c r="I31" s="1"/>
    </row>
    <row r="32" spans="2:9" ht="30" customHeight="1" x14ac:dyDescent="0.2">
      <c r="C32" s="21" t="s">
        <v>39</v>
      </c>
      <c r="D32" s="72" t="s">
        <v>40</v>
      </c>
      <c r="E32" s="69"/>
      <c r="F32" s="69"/>
      <c r="G32" s="69"/>
      <c r="H32" s="69"/>
      <c r="I32" s="69"/>
    </row>
    <row r="33" spans="2:9" ht="30" customHeight="1" x14ac:dyDescent="0.2">
      <c r="C33" s="22" t="s">
        <v>41</v>
      </c>
      <c r="D33" s="72" t="s">
        <v>42</v>
      </c>
      <c r="E33" s="69"/>
      <c r="F33" s="69"/>
      <c r="G33" s="69"/>
      <c r="H33" s="69"/>
      <c r="I33" s="69"/>
    </row>
    <row r="34" spans="2:9" ht="30" customHeight="1" x14ac:dyDescent="0.2">
      <c r="C34" s="23" t="s">
        <v>43</v>
      </c>
      <c r="D34" s="72" t="s">
        <v>44</v>
      </c>
      <c r="E34" s="69"/>
      <c r="F34" s="69"/>
      <c r="G34" s="69"/>
      <c r="H34" s="69"/>
      <c r="I34" s="69"/>
    </row>
    <row r="35" spans="2:9" ht="30" customHeight="1" x14ac:dyDescent="0.2">
      <c r="C35" s="24" t="s">
        <v>45</v>
      </c>
      <c r="D35" s="72" t="s">
        <v>46</v>
      </c>
      <c r="E35" s="69"/>
      <c r="F35" s="69"/>
      <c r="G35" s="69"/>
      <c r="H35" s="69"/>
      <c r="I35" s="69"/>
    </row>
    <row r="36" spans="2:9" ht="14" x14ac:dyDescent="0.2"/>
    <row r="37" spans="2:9" ht="22" customHeight="1" x14ac:dyDescent="0.2">
      <c r="B37" s="9" t="s">
        <v>47</v>
      </c>
      <c r="C37" s="1"/>
      <c r="D37" s="1"/>
      <c r="E37" s="1"/>
      <c r="F37" s="1"/>
      <c r="G37" s="1"/>
      <c r="H37" s="1"/>
      <c r="I37" s="1"/>
    </row>
    <row r="38" spans="2:9" ht="32" customHeight="1" x14ac:dyDescent="0.2">
      <c r="C38" s="74" t="s">
        <v>48</v>
      </c>
      <c r="D38" s="69"/>
      <c r="E38" s="69"/>
      <c r="F38" s="69"/>
      <c r="G38" s="69"/>
      <c r="H38" s="69"/>
      <c r="I38" s="69"/>
    </row>
    <row r="39" spans="2:9" ht="20" customHeight="1" x14ac:dyDescent="0.2">
      <c r="C39" s="25" t="s">
        <v>49</v>
      </c>
      <c r="D39" s="73" t="s">
        <v>50</v>
      </c>
      <c r="E39" s="71"/>
      <c r="F39" s="71"/>
      <c r="G39" s="71"/>
      <c r="H39" s="71"/>
      <c r="I39" s="71"/>
    </row>
    <row r="40" spans="2:9" ht="20" customHeight="1" x14ac:dyDescent="0.2">
      <c r="C40" s="25" t="s">
        <v>51</v>
      </c>
      <c r="D40" s="73" t="s">
        <v>52</v>
      </c>
      <c r="E40" s="71"/>
      <c r="F40" s="71"/>
      <c r="G40" s="71"/>
      <c r="H40" s="71"/>
      <c r="I40" s="71"/>
    </row>
    <row r="41" spans="2:9" ht="20" customHeight="1" x14ac:dyDescent="0.2">
      <c r="C41" s="25" t="s">
        <v>53</v>
      </c>
      <c r="D41" s="73" t="s">
        <v>54</v>
      </c>
      <c r="E41" s="71"/>
      <c r="F41" s="71"/>
      <c r="G41" s="71"/>
      <c r="H41" s="71"/>
      <c r="I41" s="71"/>
    </row>
    <row r="42" spans="2:9" ht="20" customHeight="1" x14ac:dyDescent="0.2">
      <c r="C42" s="25" t="s">
        <v>55</v>
      </c>
      <c r="D42" s="73" t="s">
        <v>56</v>
      </c>
      <c r="E42" s="71"/>
      <c r="F42" s="71"/>
      <c r="G42" s="71"/>
      <c r="H42" s="71"/>
      <c r="I42" s="71"/>
    </row>
    <row r="43" spans="2:9" ht="32" customHeight="1" x14ac:dyDescent="0.2">
      <c r="C43" s="68" t="s">
        <v>57</v>
      </c>
      <c r="D43" s="69"/>
      <c r="E43" s="69"/>
      <c r="F43" s="69"/>
      <c r="G43" s="69"/>
      <c r="H43" s="69"/>
      <c r="I43" s="69"/>
    </row>
    <row r="44" spans="2:9" ht="14" x14ac:dyDescent="0.2"/>
    <row r="45" spans="2:9" ht="22" customHeight="1" x14ac:dyDescent="0.2">
      <c r="B45" s="9" t="s">
        <v>58</v>
      </c>
      <c r="C45" s="1"/>
      <c r="D45" s="1"/>
      <c r="E45" s="1"/>
      <c r="F45" s="1"/>
      <c r="G45" s="1"/>
      <c r="H45" s="1"/>
      <c r="I45" s="1"/>
    </row>
    <row r="46" spans="2:9" ht="46" customHeight="1" x14ac:dyDescent="0.2">
      <c r="C46" s="74" t="s">
        <v>59</v>
      </c>
      <c r="D46" s="69"/>
      <c r="E46" s="69"/>
      <c r="F46" s="69"/>
      <c r="G46" s="69"/>
      <c r="H46" s="69"/>
      <c r="I46" s="69"/>
    </row>
    <row r="47" spans="2:9" ht="14" x14ac:dyDescent="0.2"/>
    <row r="48" spans="2:9" ht="30" customHeight="1" x14ac:dyDescent="0.2">
      <c r="C48" s="68" t="s">
        <v>60</v>
      </c>
      <c r="D48" s="69"/>
      <c r="E48" s="69"/>
      <c r="F48" s="69"/>
      <c r="G48" s="69"/>
      <c r="H48" s="69"/>
      <c r="I48" s="69"/>
    </row>
  </sheetData>
  <mergeCells count="25">
    <mergeCell ref="E13:I13"/>
    <mergeCell ref="D39:I39"/>
    <mergeCell ref="D33:I33"/>
    <mergeCell ref="D42:I42"/>
    <mergeCell ref="C20:I20"/>
    <mergeCell ref="E27:I27"/>
    <mergeCell ref="D35:I35"/>
    <mergeCell ref="C16:I16"/>
    <mergeCell ref="E26:I26"/>
    <mergeCell ref="D34:I34"/>
    <mergeCell ref="D40:I40"/>
    <mergeCell ref="E25:I25"/>
    <mergeCell ref="C48:I48"/>
    <mergeCell ref="C17:I17"/>
    <mergeCell ref="D32:I32"/>
    <mergeCell ref="E24:I24"/>
    <mergeCell ref="D41:I41"/>
    <mergeCell ref="C38:I38"/>
    <mergeCell ref="E23:I23"/>
    <mergeCell ref="C19:I19"/>
    <mergeCell ref="E29:I29"/>
    <mergeCell ref="C18:I18"/>
    <mergeCell ref="E28:I28"/>
    <mergeCell ref="C43:I43"/>
    <mergeCell ref="C46:I46"/>
  </mergeCells>
  <conditionalFormatting sqref="D13">
    <cfRule type="cellIs" dxfId="15" priority="1" operator="equal">
      <formula>"Ready"</formula>
    </cfRule>
    <cfRule type="cellIs" dxfId="14" priority="2" operator="equal">
      <formula>"Needs attention"</formula>
    </cfRule>
  </conditionalFormatting>
  <hyperlinks>
    <hyperlink ref="C24" location="'Cover'!A1" display="Cover" xr:uid="{00000000-0004-0000-0000-000000000000}"/>
    <hyperlink ref="C25" location="'Inputs'!A1" display="Inputs" xr:uid="{00000000-0004-0000-0000-000001000000}"/>
    <hyperlink ref="C26" location="'Dashboard'!A1" display="Dashboard" xr:uid="{00000000-0004-0000-0000-000002000000}"/>
    <hyperlink ref="C27" location="'Tracker'!A1" display="Tracker" xr:uid="{00000000-0004-0000-0000-000003000000}"/>
    <hyperlink ref="C28" location="'Calculations'!A1" display="Calculations" xr:uid="{00000000-0004-0000-0000-000004000000}"/>
    <hyperlink ref="C29" location="'Checks'!A1" display="Checks" xr:uid="{00000000-0004-0000-0000-000005000000}"/>
  </hyperlinks>
  <printOptions horizontalCentered="1"/>
  <pageMargins left="0.5" right="0.5" top="0.7" bottom="0.6" header="0.3" footer="0.3"/>
  <pageSetup paperSize="9" orientation="portrait"/>
  <headerFooter>
    <oddHeader>&amp;L&amp;8 &amp;K5F6673Weeks of Payroll Covered Calculator&amp;R&amp;8 &amp;K5F6673Ivanka Menken, Strategic Mentor</oddHeader>
    <oddFooter>&amp;L&amp;8 &amp;K5F6673https://ivankamenken.com&amp;C&amp;8 &amp;K5F6673Page &amp;P of &amp;N&amp;R&amp;8 &amp;K5F6673&amp;A</oddFooter>
    <evenHeader>&amp;L&amp;8 &amp;K5F6673Weeks of Payroll Covered Calculator&amp;R&amp;8 &amp;K5F6673Ivanka Menken, Strategic Mentor</evenHeader>
    <evenFooter>&amp;L&amp;8 &amp;K5F6673https://ivankamenken.com&amp;C&amp;8 &amp;K5F6673Page &amp;P of &amp;N&amp;R&amp;8 &amp;K5F6673&amp;A</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9A84C"/>
    <pageSetUpPr fitToPage="1"/>
  </sheetPr>
  <dimension ref="B1:F21"/>
  <sheetViews>
    <sheetView showGridLines="0" workbookViewId="0"/>
  </sheetViews>
  <sheetFormatPr baseColWidth="10" defaultColWidth="9" defaultRowHeight="18" customHeight="1" x14ac:dyDescent="0.2"/>
  <cols>
    <col min="1" max="1" width="2.3984375" customWidth="1"/>
    <col min="2" max="2" width="50" customWidth="1"/>
    <col min="3" max="3" width="2" customWidth="1"/>
    <col min="4" max="4" width="16" customWidth="1"/>
    <col min="5" max="5" width="2" customWidth="1"/>
    <col min="6" max="6" width="92" customWidth="1"/>
    <col min="7" max="7" width="2.3984375" customWidth="1"/>
  </cols>
  <sheetData>
    <row r="1" spans="2:6" ht="10" customHeight="1" x14ac:dyDescent="0.2"/>
    <row r="2" spans="2:6" ht="34" customHeight="1" x14ac:dyDescent="0.35">
      <c r="B2" s="26" t="s">
        <v>25</v>
      </c>
    </row>
    <row r="3" spans="2:6" ht="20" customHeight="1" x14ac:dyDescent="0.2">
      <c r="B3" s="27" t="s">
        <v>61</v>
      </c>
      <c r="C3" s="28"/>
      <c r="D3" s="28"/>
      <c r="E3" s="28"/>
      <c r="F3" s="28"/>
    </row>
    <row r="4" spans="2:6" ht="14" x14ac:dyDescent="0.2">
      <c r="B4" s="29" t="s">
        <v>62</v>
      </c>
    </row>
    <row r="6" spans="2:6" ht="22" customHeight="1" x14ac:dyDescent="0.2">
      <c r="B6" s="9" t="s">
        <v>63</v>
      </c>
      <c r="C6" s="1"/>
      <c r="D6" s="1"/>
      <c r="E6" s="1"/>
      <c r="F6" s="1"/>
    </row>
    <row r="7" spans="2:6" ht="24" customHeight="1" x14ac:dyDescent="0.2">
      <c r="B7" s="30" t="s">
        <v>64</v>
      </c>
      <c r="D7" s="31"/>
      <c r="F7" s="32" t="s">
        <v>65</v>
      </c>
    </row>
    <row r="8" spans="2:6" ht="24" customHeight="1" x14ac:dyDescent="0.2">
      <c r="B8" s="30" t="s">
        <v>66</v>
      </c>
      <c r="D8" s="33">
        <v>105000</v>
      </c>
      <c r="F8" s="32" t="s">
        <v>67</v>
      </c>
    </row>
    <row r="9" spans="2:6" ht="24" customHeight="1" x14ac:dyDescent="0.2">
      <c r="B9" s="30" t="s">
        <v>68</v>
      </c>
      <c r="D9" s="33">
        <v>48000</v>
      </c>
      <c r="F9" s="32" t="s">
        <v>69</v>
      </c>
    </row>
    <row r="10" spans="2:6" ht="24" customHeight="1" x14ac:dyDescent="0.2">
      <c r="B10" s="30" t="s">
        <v>70</v>
      </c>
      <c r="D10" s="34" t="s">
        <v>71</v>
      </c>
      <c r="F10" s="32" t="s">
        <v>72</v>
      </c>
    </row>
    <row r="11" spans="2:6" ht="24" customHeight="1" x14ac:dyDescent="0.2">
      <c r="B11" s="30" t="s">
        <v>73</v>
      </c>
      <c r="D11" s="35">
        <v>0.12</v>
      </c>
      <c r="F11" s="32" t="s">
        <v>74</v>
      </c>
    </row>
    <row r="12" spans="2:6" ht="24" customHeight="1" x14ac:dyDescent="0.2">
      <c r="B12" s="30" t="s">
        <v>75</v>
      </c>
      <c r="D12" s="36">
        <v>7.4999999999999997E-3</v>
      </c>
      <c r="F12" s="32" t="s">
        <v>76</v>
      </c>
    </row>
    <row r="13" spans="2:6" ht="24" customHeight="1" x14ac:dyDescent="0.2">
      <c r="B13" s="30" t="s">
        <v>77</v>
      </c>
      <c r="D13" s="36">
        <v>1.4999999999999999E-2</v>
      </c>
      <c r="F13" s="32" t="s">
        <v>78</v>
      </c>
    </row>
    <row r="14" spans="2:6" ht="24" customHeight="1" x14ac:dyDescent="0.2">
      <c r="B14" s="30" t="s">
        <v>79</v>
      </c>
      <c r="D14" s="33">
        <v>5500</v>
      </c>
      <c r="F14" s="32" t="s">
        <v>80</v>
      </c>
    </row>
    <row r="16" spans="2:6" ht="22" customHeight="1" x14ac:dyDescent="0.2">
      <c r="B16" s="9" t="s">
        <v>81</v>
      </c>
      <c r="C16" s="1"/>
      <c r="D16" s="1"/>
      <c r="E16" s="1"/>
      <c r="F16" s="1"/>
    </row>
    <row r="17" spans="2:6" ht="24" customHeight="1" x14ac:dyDescent="0.2">
      <c r="B17" s="30" t="s">
        <v>82</v>
      </c>
      <c r="D17" s="37">
        <v>8</v>
      </c>
      <c r="F17" s="32" t="s">
        <v>83</v>
      </c>
    </row>
    <row r="18" spans="2:6" ht="24" customHeight="1" x14ac:dyDescent="0.2">
      <c r="B18" s="30" t="s">
        <v>84</v>
      </c>
      <c r="D18" s="37">
        <v>3</v>
      </c>
      <c r="F18" s="32" t="s">
        <v>85</v>
      </c>
    </row>
    <row r="20" spans="2:6" ht="14" x14ac:dyDescent="0.2">
      <c r="B20" s="38" t="s">
        <v>86</v>
      </c>
    </row>
    <row r="21" spans="2:6" ht="14" x14ac:dyDescent="0.2">
      <c r="B21" s="38" t="s">
        <v>87</v>
      </c>
    </row>
  </sheetData>
  <dataValidations count="10">
    <dataValidation type="textLength" operator="lessThanOrEqual" allowBlank="1" showInputMessage="1" showErrorMessage="1" errorTitle="Check this entry" error="Keep the business name to 60 characters or fewer." promptTitle="Business name" prompt="Optional. Shows in the Dashboard title. Up to 60 characters." sqref="D7" xr:uid="{00000000-0002-0000-0100-000000000000}">
      <formula1>60</formula1>
    </dataValidation>
    <dataValidation type="decimal" allowBlank="1" showInputMessage="1" showErrorMessage="1" errorTitle="Check this entry" error="Type a dollar amount as a plain number, for example 25000. No letters or dollar signs." promptTitle="Cash in the bank" prompt="Cleared funds across all business accounts today, in dollars. Example: 105000. Leave out receipts you are still waiting for." sqref="D8" xr:uid="{00000000-0002-0000-0100-000001000000}">
      <formula1>-1000000000</formula1>
      <formula2>1000000000</formula2>
    </dataValidation>
    <dataValidation type="decimal" allowBlank="1" showInputMessage="1" showErrorMessage="1" errorTitle="Check this entry" error="Type a dollar amount as a plain number, for example 25000. No letters or dollar signs." promptTitle="Gross wages per run" prompt="Total gross wages for one pay run, before tax withheld and before super, in dollars. Example: 48000." sqref="D9" xr:uid="{00000000-0002-0000-0100-000002000000}">
      <formula1>0</formula1>
      <formula2>1000000000</formula2>
    </dataValidation>
    <dataValidation type="list" showInputMessage="1" showErrorMessage="1" errorTitle="Check this entry" error="Pick Weekly, Fortnightly or Monthly from the list." promptTitle="Pay frequency" prompt="Pick Weekly, Fortnightly or Monthly. The workbook turns any pay cycle into one week." sqref="D10" xr:uid="{00000000-0002-0000-0100-000003000000}">
      <formula1>"Weekly,Fortnightly,Monthly"</formula1>
    </dataValidation>
    <dataValidation type="decimal" allowBlank="1" showInputMessage="1" showErrorMessage="1" errorTitle="Check this entry" error="Type a percentage between 0% and 30%, for example 12%." promptTitle="Super guarantee" prompt="The super guarantee rate on ordinary time earnings. Default 12%. Check the current rules with your accountant." sqref="D11" xr:uid="{00000000-0002-0000-0100-000004000000}">
      <formula1>0</formula1>
      <formula2>0.3</formula2>
    </dataValidation>
    <dataValidation type="decimal" allowBlank="1" showInputMessage="1" showErrorMessage="1" errorTitle="Check this entry" error="Type a percentage between 0% and 10%, for example 12%." promptTitle="Payroll tax rate" prompt="Your effective payroll tax rate on wages plus super. Rates and thresholds vary by state: enter your own effective rate, or 0 if you are under the threshold." sqref="D12" xr:uid="{00000000-0002-0000-0100-000005000000}">
      <formula1>0</formula1>
      <formula2>0.1</formula2>
    </dataValidation>
    <dataValidation type="decimal" allowBlank="1" showInputMessage="1" showErrorMessage="1" errorTitle="Check this entry" error="Type a percentage between 0% and 15%, for example 12%." promptTitle="Workers compensation" prompt="Your workers compensation premium as a share of gross wages. Example: 1.5%. Your policy or insurer shows the rate." sqref="D13" xr:uid="{00000000-0002-0000-0100-000006000000}">
      <formula1>0</formula1>
      <formula2>0.15</formula2>
    </dataValidation>
    <dataValidation type="decimal" allowBlank="1" showInputMessage="1" showErrorMessage="1" errorTitle="Check this entry" error="Type a dollar amount as a plain number, for example 25000. No letters or dollar signs." promptTitle="Other must-pay costs" prompt="Optional. Costs that cannot slip, per week, in dollars: rent, loan repayments, insurance. Example: 5500. Used for the stricter cover figure only." sqref="D14" xr:uid="{00000000-0002-0000-0100-000007000000}">
      <formula1>0</formula1>
      <formula2>1000000000</formula2>
    </dataValidation>
    <dataValidation type="decimal" allowBlank="1" showInputMessage="1" showErrorMessage="1" errorTitle="Check this entry" error="Type a number of weeks between 0.5 and 52, for example 8." promptTitle="Target weeks" prompt="Your own target, in weeks of payroll. Example: 8. There is no benchmark; pick the cover that lets you sleep." sqref="D17" xr:uid="{00000000-0002-0000-0100-000008000000}">
      <formula1>0.5</formula1>
      <formula2>52</formula2>
    </dataValidation>
    <dataValidation type="decimal" allowBlank="1" showInputMessage="1" showErrorMessage="1" errorTitle="Check this entry" error="Type a number of weeks between 0 and 52, below your target." promptTitle="Red line" prompt="Below this many weeks the status turns red. Between this and your target it is amber. Example: 3." sqref="D18" xr:uid="{00000000-0002-0000-0100-000009000000}">
      <formula1>0</formula1>
      <formula2>52</formula2>
    </dataValidation>
  </dataValidations>
  <printOptions horizontalCentered="1"/>
  <pageMargins left="0.45" right="0.45" top="0.75" bottom="0.65" header="0.3" footer="0.3"/>
  <pageSetup paperSize="9" fitToHeight="0" orientation="landscape"/>
  <headerFooter>
    <oddHeader>&amp;L&amp;8 &amp;K5F6673Weeks of Payroll Covered Calculator&amp;R&amp;8 &amp;K5F6673Ivanka Menken, Strategic Mentor</oddHeader>
    <oddFooter>&amp;L&amp;8 &amp;K5F6673https://ivankamenken.com&amp;C&amp;8 &amp;K5F6673Page &amp;P of &amp;N&amp;R&amp;8 &amp;K5F6673&amp;A</oddFooter>
    <evenHeader>&amp;L&amp;8 &amp;K5F6673Weeks of Payroll Covered Calculator&amp;R&amp;8 &amp;K5F6673Ivanka Menken, Strategic Mentor</evenHeader>
    <evenFooter>&amp;L&amp;8 &amp;K5F6673https://ivankamenken.com&amp;C&amp;8 &amp;K5F6673Page &amp;P of &amp;N&amp;R&amp;8 &amp;K5F6673&amp;A</even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F4A7A"/>
    <pageSetUpPr fitToPage="1"/>
  </sheetPr>
  <dimension ref="B2:P36"/>
  <sheetViews>
    <sheetView showGridLines="0" workbookViewId="0"/>
  </sheetViews>
  <sheetFormatPr baseColWidth="10" defaultColWidth="9" defaultRowHeight="18" customHeight="1" x14ac:dyDescent="0.2"/>
  <cols>
    <col min="1" max="1" width="2.3984375" customWidth="1"/>
    <col min="2" max="16" width="10.19921875" customWidth="1"/>
    <col min="17" max="17" width="2.3984375" customWidth="1"/>
  </cols>
  <sheetData>
    <row r="2" spans="2:16" ht="34" customHeight="1" x14ac:dyDescent="0.35">
      <c r="B2" s="39" t="str">
        <f>IF(Inputs!$D$7="","Weeks of payroll covered",Inputs!$D$7&amp;": weeks of payroll covered")</f>
        <v>Weeks of payroll covered</v>
      </c>
    </row>
    <row r="3" spans="2:16" ht="14" x14ac:dyDescent="0.2">
      <c r="B3" s="40" t="s">
        <v>88</v>
      </c>
      <c r="C3" s="28"/>
      <c r="D3" s="28"/>
      <c r="E3" s="28"/>
      <c r="F3" s="28"/>
      <c r="G3" s="28"/>
      <c r="H3" s="28"/>
      <c r="I3" s="28"/>
      <c r="J3" s="28"/>
      <c r="K3" s="28"/>
      <c r="L3" s="28"/>
      <c r="M3" s="28"/>
      <c r="N3" s="28"/>
      <c r="O3" s="28"/>
      <c r="P3" s="28"/>
    </row>
    <row r="5" spans="2:16" ht="28" customHeight="1" x14ac:dyDescent="0.2">
      <c r="B5" s="6" t="s">
        <v>89</v>
      </c>
      <c r="C5" s="79" t="str">
        <f>IF(Checks!$D$5&gt;0,"Check inputs",Calculations!$D$23)</f>
        <v>Watch</v>
      </c>
      <c r="D5" s="69"/>
      <c r="E5" s="87" t="str">
        <f>IF(Checks!$D$5&gt;0,"Some inputs need a fix: the Checks sheet lists what to change. The readings below wait until they pass.",IF(C5="On target","At or above your "&amp;FIXED(Inputs!$D$17,IF(Inputs!$D$17=INT(Inputs!$D$17),0,1))&amp;"-week target.",IF(C5="Watch","Above your "&amp;FIXED(Inputs!$D$18,IF(Inputs!$D$18=INT(Inputs!$D$18),0,1))&amp;"-week red line, below your "&amp;FIXED(Inputs!$D$17,IF(Inputs!$D$17=INT(Inputs!$D$17),0,1))&amp;"-week target.","Below your "&amp;FIXED(Inputs!$D$18,IF(Inputs!$D$18=INT(Inputs!$D$18),0,1))&amp;"-week red line.")))</f>
        <v>Above your 3-week red line, below your 8-week target.</v>
      </c>
      <c r="F5" s="69"/>
      <c r="G5" s="69"/>
      <c r="H5" s="69"/>
      <c r="I5" s="69"/>
      <c r="J5" s="69"/>
      <c r="K5" s="69"/>
      <c r="L5" s="69"/>
      <c r="M5" s="69"/>
      <c r="N5" s="69"/>
      <c r="O5" s="69"/>
      <c r="P5" s="69"/>
    </row>
    <row r="7" spans="2:16" ht="26" customHeight="1" x14ac:dyDescent="0.2">
      <c r="B7" s="82" t="s">
        <v>90</v>
      </c>
      <c r="C7" s="83"/>
      <c r="D7" s="83"/>
      <c r="E7" s="82" t="s">
        <v>91</v>
      </c>
      <c r="F7" s="83"/>
      <c r="G7" s="83"/>
      <c r="H7" s="82" t="s">
        <v>92</v>
      </c>
      <c r="I7" s="83"/>
      <c r="J7" s="83"/>
      <c r="K7" s="82" t="s">
        <v>93</v>
      </c>
      <c r="L7" s="83"/>
      <c r="M7" s="83"/>
      <c r="N7" s="82" t="s">
        <v>94</v>
      </c>
      <c r="O7" s="83"/>
      <c r="P7" s="83"/>
    </row>
    <row r="8" spans="2:16" ht="40" customHeight="1" x14ac:dyDescent="0.2">
      <c r="B8" s="78">
        <f>Calculations!$D$15</f>
        <v>3.8263075039356309</v>
      </c>
      <c r="C8" s="69"/>
      <c r="D8" s="69"/>
      <c r="E8" s="85">
        <f>Calculations!$D$12</f>
        <v>27441.599999999999</v>
      </c>
      <c r="F8" s="69"/>
      <c r="G8" s="69"/>
      <c r="H8" s="85">
        <f>MAX(0,Calculations!$D$19)</f>
        <v>114532.79999999999</v>
      </c>
      <c r="I8" s="69"/>
      <c r="J8" s="69"/>
      <c r="K8" s="78">
        <f>Calculations!$D$22</f>
        <v>3.1874590183840494</v>
      </c>
      <c r="L8" s="69"/>
      <c r="M8" s="69"/>
      <c r="N8" s="81">
        <f>Calculations!$D$17</f>
        <v>1.9131537519678155</v>
      </c>
      <c r="O8" s="69"/>
      <c r="P8" s="69"/>
    </row>
    <row r="9" spans="2:16" ht="30" customHeight="1" x14ac:dyDescent="0.2">
      <c r="B9" s="80" t="str">
        <f>IF(Checks!$D$5&gt;0,"","Target "&amp;FIXED(Inputs!$D$17,IF(Inputs!$D$17=INT(Inputs!$D$17),0,1))&amp;" weeks, red line "&amp;FIXED(Inputs!$D$18,IF(Inputs!$D$18=INT(Inputs!$D$18),0,1)))</f>
        <v>Target 8 weeks, red line 3</v>
      </c>
      <c r="C9" s="71"/>
      <c r="D9" s="71"/>
      <c r="E9" s="80" t="str">
        <f>IF(Checks!$D$5&gt;0,"","Wages, super, payroll tax and workers comp")</f>
        <v>Wages, super, payroll tax and workers comp</v>
      </c>
      <c r="F9" s="71"/>
      <c r="G9" s="71"/>
      <c r="H9" s="80" t="str">
        <f>IF(Checks!$D$5&gt;0,"","Cash needed for the target: "&amp;IF((Calculations!$D$18)&lt;0,"minus $"&amp;FIXED(-(Calculations!$D$18),0),"$"&amp;FIXED(Calculations!$D$18,0)))</f>
        <v>Cash needed for the target: $219,533</v>
      </c>
      <c r="I9" s="71"/>
      <c r="J9" s="71"/>
      <c r="K9" s="80" t="str">
        <f>IF(Checks!$D$5&gt;0,"","Payroll plus "&amp;IF((Inputs!$D$14)&lt;0,"minus $"&amp;FIXED(-(Inputs!$D$14),0),"$"&amp;FIXED(Inputs!$D$14,0))&amp;" a week of other costs")</f>
        <v>Payroll plus $5,500 a week of other costs</v>
      </c>
      <c r="L9" s="71"/>
      <c r="M9" s="71"/>
      <c r="N9" s="80" t="str">
        <f>IF(Checks!$D$5&gt;0,"","One pay run, all in: "&amp;IF((Calculations!$D$16)&lt;0,"minus $"&amp;FIXED(-(Calculations!$D$16),0),"$"&amp;FIXED(Calculations!$D$16,0)))</f>
        <v>One pay run, all in: $54,883</v>
      </c>
      <c r="O9" s="71"/>
      <c r="P9" s="71"/>
    </row>
    <row r="11" spans="2:16" ht="22" customHeight="1" x14ac:dyDescent="0.2">
      <c r="B11" s="9" t="s">
        <v>95</v>
      </c>
      <c r="C11" s="1"/>
      <c r="D11" s="1"/>
      <c r="E11" s="1"/>
      <c r="F11" s="1"/>
      <c r="G11" s="1"/>
      <c r="H11" s="1"/>
      <c r="I11" s="1"/>
      <c r="J11" s="1"/>
      <c r="K11" s="1"/>
      <c r="L11" s="1"/>
      <c r="M11" s="1"/>
      <c r="N11" s="1"/>
      <c r="O11" s="1"/>
      <c r="P11" s="1"/>
    </row>
    <row r="12" spans="2:16" ht="22" customHeight="1" x14ac:dyDescent="0.2">
      <c r="B12" s="77" t="str">
        <f>IF(Checks!$D$5&gt;0,"Readings are on hold until every row on the Checks sheet reads Pass.",FIXED(Calculations!$D$15,1)&amp;" weeks of payroll covered: "&amp;IF(Calculations!$D$15&gt;=Inputs!$D$17,"at or above your "&amp;FIXED(Inputs!$D$17,IF(Inputs!$D$17=INT(Inputs!$D$17),0,1))&amp;"-week target. You hold "&amp;IF((-Calculations!$D$19)&lt;0,"minus $"&amp;FIXED(-(-Calculations!$D$19),0),"$"&amp;FIXED(-Calculations!$D$19,0))&amp;" more than the target needs.","below your "&amp;FIXED(Inputs!$D$17,IF(Inputs!$D$17=INT(Inputs!$D$17),0,1))&amp;"-week target. The gap is "&amp;IF((Calculations!$D$19)&lt;0,"minus $"&amp;FIXED(-(Calculations!$D$19),0),"$"&amp;FIXED(Calculations!$D$19,0))&amp;"."))</f>
        <v>3.8 weeks of payroll covered: below your 8-week target. The gap is $114,533.</v>
      </c>
      <c r="C12" s="69"/>
      <c r="D12" s="69"/>
      <c r="E12" s="69"/>
      <c r="F12" s="69"/>
      <c r="G12" s="69"/>
      <c r="H12" s="69"/>
      <c r="I12" s="69"/>
      <c r="J12" s="69"/>
      <c r="K12" s="69"/>
      <c r="L12" s="69"/>
      <c r="M12" s="69"/>
      <c r="N12" s="69"/>
      <c r="O12" s="69"/>
      <c r="P12" s="69"/>
    </row>
    <row r="13" spans="2:16" ht="22" customHeight="1" x14ac:dyDescent="0.2">
      <c r="B13" s="77" t="str">
        <f>IF(Checks!$D$5&gt;0,"","One week of payroll is "&amp;IF((Calculations!$D$12)&lt;0,"minus $"&amp;FIXED(-(Calculations!$D$12),0),"$"&amp;FIXED(Calculations!$D$12,0))&amp;": wages "&amp;IF((Calculations!$D$8)&lt;0,"minus $"&amp;FIXED(-(Calculations!$D$8),0),"$"&amp;FIXED(Calculations!$D$8,0))&amp;", super "&amp;IF((Calculations!$D$9)&lt;0,"minus $"&amp;FIXED(-(Calculations!$D$9),0),"$"&amp;FIXED(Calculations!$D$9,0))&amp;", payroll tax "&amp;IF((Calculations!$D$10)&lt;0,"minus $"&amp;FIXED(-(Calculations!$D$10),0),"$"&amp;FIXED(Calculations!$D$10,0))&amp;" and workers compensation "&amp;IF((Calculations!$D$11)&lt;0,"minus $"&amp;FIXED(-(Calculations!$D$11),0),"$"&amp;FIXED(Calculations!$D$11,0))&amp;".")</f>
        <v>One week of payroll is $27,442: wages $24,000, super $2,880, payroll tax $202 and workers compensation $360.</v>
      </c>
      <c r="C13" s="69"/>
      <c r="D13" s="69"/>
      <c r="E13" s="69"/>
      <c r="F13" s="69"/>
      <c r="G13" s="69"/>
      <c r="H13" s="69"/>
      <c r="I13" s="69"/>
      <c r="J13" s="69"/>
      <c r="K13" s="69"/>
      <c r="L13" s="69"/>
      <c r="M13" s="69"/>
      <c r="N13" s="69"/>
      <c r="O13" s="69"/>
      <c r="P13" s="69"/>
    </row>
    <row r="14" spans="2:16" ht="22" customHeight="1" x14ac:dyDescent="0.2">
      <c r="B14" s="77" t="str">
        <f>IF(Checks!$D$5&gt;0,"","Counting the other must-pay costs as well, cash covers "&amp;FIXED(Calculations!$D$22,1)&amp;" weeks. That is the stricter view; the scorecard number is payroll only.")</f>
        <v>Counting the other must-pay costs as well, cash covers 3.2 weeks. That is the stricter view; the scorecard number is payroll only.</v>
      </c>
      <c r="C14" s="69"/>
      <c r="D14" s="69"/>
      <c r="E14" s="69"/>
      <c r="F14" s="69"/>
      <c r="G14" s="69"/>
      <c r="H14" s="69"/>
      <c r="I14" s="69"/>
      <c r="J14" s="69"/>
      <c r="K14" s="69"/>
      <c r="L14" s="69"/>
      <c r="M14" s="69"/>
      <c r="N14" s="69"/>
      <c r="O14" s="69"/>
      <c r="P14" s="69"/>
    </row>
    <row r="15" spans="2:16" ht="22" customHeight="1" x14ac:dyDescent="0.2">
      <c r="B15" s="77" t="str">
        <f>IF(Checks!$D$5&gt;0,"",IF(COUNT(Tracker!$C$8:$C$19)=0,"Tracker: no months entered yet. Write the number down once a month on the Tracker sheet.","Tracker: "&amp;COUNT(Tracker!$C$8:$C$19)&amp;IF(COUNT(Tracker!$C$8:$C$19)=1," month"," months")&amp;" entered. Latest, "&amp;CHOOSE(MONTH(INDEX(Tracker!$B$8:$B$19,COUNT(Tracker!$C$8:$C$19))),"Jan","Feb","Mar","Apr","May","Jun","Jul","Aug","Sep","Oct","Nov","Dec")&amp;" "&amp;YEAR(INDEX(Tracker!$B$8:$B$19,COUNT(Tracker!$C$8:$C$19)))&amp;": "&amp;FIXED(INDEX(Tracker!$F$8:$F$19,COUNT(Tracker!$C$8:$C$19)),1)&amp;" weeks"&amp;IF(COUNT(Tracker!$C$8:$C$19)&lt;2,". Add a second month to see the trend.",", "&amp;IF(INDEX(Tracker!$F$8:$F$19,COUNT(Tracker!$C$8:$C$19))&gt;=INDEX(Tracker!$F$8:$F$19,COUNT(Tracker!$C$8:$C$19)-1),"up ","down ")&amp;FIXED(ABS(INDEX(Tracker!$F$8:$F$19,COUNT(Tracker!$C$8:$C$19))-INDEX(Tracker!$F$8:$F$19,COUNT(Tracker!$C$8:$C$19)-1)),1)&amp;" weeks on the month before.")))</f>
        <v>Tracker: 6 months entered. Latest, Oct 2026: 3.8 weeks, up 0.3 weeks on the month before.</v>
      </c>
      <c r="C15" s="69"/>
      <c r="D15" s="69"/>
      <c r="E15" s="69"/>
      <c r="F15" s="69"/>
      <c r="G15" s="69"/>
      <c r="H15" s="69"/>
      <c r="I15" s="69"/>
      <c r="J15" s="69"/>
      <c r="K15" s="69"/>
      <c r="L15" s="69"/>
      <c r="M15" s="69"/>
      <c r="N15" s="69"/>
      <c r="O15" s="69"/>
      <c r="P15" s="69"/>
    </row>
    <row r="16" spans="2:16" ht="22" customHeight="1" x14ac:dyDescent="0.2">
      <c r="B16" s="86" t="str">
        <f>"There is no pass mark. A useful number is an honest one, and it means most next to your own number from last month."</f>
        <v>There is no pass mark. A useful number is an honest one, and it means most next to your own number from last month.</v>
      </c>
      <c r="C16" s="69"/>
      <c r="D16" s="69"/>
      <c r="E16" s="69"/>
      <c r="F16" s="69"/>
      <c r="G16" s="69"/>
      <c r="H16" s="69"/>
      <c r="I16" s="69"/>
      <c r="J16" s="69"/>
      <c r="K16" s="69"/>
      <c r="L16" s="69"/>
      <c r="M16" s="69"/>
      <c r="N16" s="69"/>
      <c r="O16" s="69"/>
      <c r="P16" s="69"/>
    </row>
    <row r="18" spans="2:16" ht="22" customHeight="1" x14ac:dyDescent="0.2">
      <c r="B18" s="9" t="s">
        <v>96</v>
      </c>
      <c r="C18" s="1"/>
      <c r="D18" s="1"/>
      <c r="E18" s="1"/>
      <c r="F18" s="1"/>
      <c r="G18" s="1"/>
      <c r="H18" s="1"/>
      <c r="I18" s="1"/>
      <c r="J18" s="9" t="s">
        <v>97</v>
      </c>
      <c r="K18" s="1"/>
      <c r="L18" s="1"/>
      <c r="M18" s="1"/>
      <c r="N18" s="1"/>
      <c r="O18" s="1"/>
      <c r="P18" s="1"/>
    </row>
    <row r="36" spans="2:16" ht="30" customHeight="1" x14ac:dyDescent="0.2">
      <c r="B36" s="84" t="s">
        <v>98</v>
      </c>
      <c r="C36" s="69"/>
      <c r="D36" s="69"/>
      <c r="E36" s="69"/>
      <c r="F36" s="69"/>
      <c r="G36" s="69"/>
      <c r="H36" s="69"/>
      <c r="I36" s="69"/>
      <c r="J36" s="69"/>
      <c r="K36" s="69"/>
      <c r="L36" s="69"/>
      <c r="M36" s="69"/>
      <c r="N36" s="69"/>
      <c r="O36" s="69"/>
      <c r="P36" s="69"/>
    </row>
  </sheetData>
  <mergeCells count="23">
    <mergeCell ref="B15:P15"/>
    <mergeCell ref="B36:P36"/>
    <mergeCell ref="H8:J8"/>
    <mergeCell ref="B7:D7"/>
    <mergeCell ref="N7:P7"/>
    <mergeCell ref="B16:P16"/>
    <mergeCell ref="K9:M9"/>
    <mergeCell ref="E8:G8"/>
    <mergeCell ref="H9:J9"/>
    <mergeCell ref="B12:P12"/>
    <mergeCell ref="B8:D8"/>
    <mergeCell ref="C5:D5"/>
    <mergeCell ref="B14:P14"/>
    <mergeCell ref="E9:G9"/>
    <mergeCell ref="N8:P8"/>
    <mergeCell ref="B13:P13"/>
    <mergeCell ref="H7:J7"/>
    <mergeCell ref="K8:M8"/>
    <mergeCell ref="B9:D9"/>
    <mergeCell ref="N9:P9"/>
    <mergeCell ref="E7:G7"/>
    <mergeCell ref="K7:M7"/>
    <mergeCell ref="E5:P5"/>
  </mergeCells>
  <conditionalFormatting sqref="C5">
    <cfRule type="cellIs" dxfId="13" priority="1" operator="equal">
      <formula>"On target"</formula>
    </cfRule>
    <cfRule type="cellIs" dxfId="12" priority="2" operator="equal">
      <formula>"Watch"</formula>
    </cfRule>
    <cfRule type="cellIs" dxfId="11" priority="3" operator="equal">
      <formula>"Action needed"</formula>
    </cfRule>
    <cfRule type="cellIs" dxfId="10" priority="4" operator="equal">
      <formula>"Check inputs"</formula>
    </cfRule>
  </conditionalFormatting>
  <printOptions horizontalCentered="1"/>
  <pageMargins left="0.45" right="0.45" top="0.75" bottom="0.65" header="0.3" footer="0.3"/>
  <pageSetup paperSize="9" orientation="landscape"/>
  <headerFooter>
    <oddHeader>&amp;L&amp;8 &amp;K5F6673Weeks of Payroll Covered Calculator&amp;R&amp;8 &amp;K5F6673Ivanka Menken, Strategic Mentor</oddHeader>
    <oddFooter>&amp;L&amp;8 &amp;K5F6673https://ivankamenken.com&amp;C&amp;8 &amp;K5F6673Page &amp;P of &amp;N&amp;R&amp;8 &amp;K5F6673&amp;A</oddFooter>
    <evenHeader>&amp;L&amp;8 &amp;K5F6673Weeks of Payroll Covered Calculator&amp;R&amp;8 &amp;K5F6673Ivanka Menken, Strategic Mentor</evenHeader>
    <evenFooter>&amp;L&amp;8 &amp;K5F6673https://ivankamenken.com&amp;C&amp;8 &amp;K5F6673Page &amp;P of &amp;N&amp;R&amp;8 &amp;K5F6673&amp;A</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9A84C"/>
    <pageSetUpPr fitToPage="1"/>
  </sheetPr>
  <dimension ref="B1:K22"/>
  <sheetViews>
    <sheetView showGridLines="0" workbookViewId="0">
      <pane xSplit="2" ySplit="7" topLeftCell="C8" activePane="bottomRight" state="frozen"/>
      <selection pane="topRight"/>
      <selection pane="bottomLeft"/>
      <selection pane="bottomRight"/>
    </sheetView>
  </sheetViews>
  <sheetFormatPr baseColWidth="10" defaultColWidth="9" defaultRowHeight="18" customHeight="1" x14ac:dyDescent="0.2"/>
  <cols>
    <col min="1" max="1" width="2.3984375" customWidth="1"/>
    <col min="2" max="2" width="13" customWidth="1"/>
    <col min="3" max="5" width="15" customWidth="1"/>
    <col min="6" max="6" width="11" customWidth="1"/>
    <col min="7" max="8" width="10" customWidth="1"/>
    <col min="9" max="9" width="15" customWidth="1"/>
    <col min="10" max="10" width="11" customWidth="1"/>
    <col min="11" max="11" width="46" customWidth="1"/>
    <col min="12" max="12" width="2.3984375" customWidth="1"/>
  </cols>
  <sheetData>
    <row r="1" spans="2:11" ht="10" customHeight="1" x14ac:dyDescent="0.2"/>
    <row r="2" spans="2:11" ht="34" customHeight="1" x14ac:dyDescent="0.35">
      <c r="B2" s="26" t="s">
        <v>99</v>
      </c>
    </row>
    <row r="3" spans="2:11" ht="20" customHeight="1" x14ac:dyDescent="0.2">
      <c r="B3" s="27" t="s">
        <v>100</v>
      </c>
      <c r="C3" s="28"/>
      <c r="D3" s="28"/>
      <c r="E3" s="28"/>
      <c r="F3" s="28"/>
      <c r="G3" s="28"/>
      <c r="H3" s="28"/>
      <c r="I3" s="28"/>
      <c r="J3" s="28"/>
      <c r="K3" s="28"/>
    </row>
    <row r="5" spans="2:11" ht="14" x14ac:dyDescent="0.2">
      <c r="B5" s="7" t="s">
        <v>101</v>
      </c>
      <c r="C5" s="41">
        <v>46143</v>
      </c>
      <c r="D5" s="29" t="s">
        <v>102</v>
      </c>
    </row>
    <row r="7" spans="2:11" ht="32" customHeight="1" x14ac:dyDescent="0.2">
      <c r="B7" s="13" t="s">
        <v>103</v>
      </c>
      <c r="C7" s="42" t="s">
        <v>104</v>
      </c>
      <c r="D7" s="42" t="s">
        <v>105</v>
      </c>
      <c r="E7" s="42" t="s">
        <v>106</v>
      </c>
      <c r="F7" s="42" t="s">
        <v>107</v>
      </c>
      <c r="G7" s="42" t="s">
        <v>108</v>
      </c>
      <c r="H7" s="42" t="s">
        <v>109</v>
      </c>
      <c r="I7" s="43" t="s">
        <v>110</v>
      </c>
      <c r="J7" s="42" t="s">
        <v>111</v>
      </c>
      <c r="K7" s="13" t="s">
        <v>112</v>
      </c>
    </row>
    <row r="8" spans="2:11" ht="20" customHeight="1" x14ac:dyDescent="0.2">
      <c r="B8" s="44">
        <f>C5</f>
        <v>46143</v>
      </c>
      <c r="C8" s="33">
        <v>72000</v>
      </c>
      <c r="D8" s="33"/>
      <c r="E8" s="45">
        <f>IF(ISNUMBER(D8),D8,Calculations!$D$12)</f>
        <v>27441.599999999999</v>
      </c>
      <c r="F8" s="46">
        <f t="shared" ref="F8:F19" si="0">IF(ISNUMBER(C8),IF(E8&gt;0,C8/E8,0),"")</f>
        <v>2.6237537169844325</v>
      </c>
      <c r="G8" s="47">
        <f>Inputs!$D$17</f>
        <v>8</v>
      </c>
      <c r="H8" s="47">
        <f>Inputs!$D$18</f>
        <v>3</v>
      </c>
      <c r="I8" s="48" t="str">
        <f>IF(F8="","",IF(F8&gt;=Inputs!$D$17,"On target",IF(F8&gt;=Inputs!$D$18,"Watch","Action needed")))</f>
        <v>Action needed</v>
      </c>
      <c r="J8" s="49" t="str">
        <f>""</f>
        <v/>
      </c>
      <c r="K8" s="50"/>
    </row>
    <row r="9" spans="2:11" ht="20" customHeight="1" x14ac:dyDescent="0.2">
      <c r="B9" s="44">
        <f>EDATE(C5,1)</f>
        <v>46174</v>
      </c>
      <c r="C9" s="33">
        <v>81000</v>
      </c>
      <c r="D9" s="33"/>
      <c r="E9" s="45">
        <f>IF(ISNUMBER(D9),D9,Calculations!$D$12)</f>
        <v>27441.599999999999</v>
      </c>
      <c r="F9" s="46">
        <f t="shared" si="0"/>
        <v>2.9517229316074864</v>
      </c>
      <c r="G9" s="47">
        <f>Inputs!$D$17</f>
        <v>8</v>
      </c>
      <c r="H9" s="47">
        <f>Inputs!$D$18</f>
        <v>3</v>
      </c>
      <c r="I9" s="48" t="str">
        <f>IF(F9="","",IF(F9&gt;=Inputs!$D$17,"On target",IF(F9&gt;=Inputs!$D$18,"Watch","Action needed")))</f>
        <v>Action needed</v>
      </c>
      <c r="J9" s="51">
        <f t="shared" ref="J9:J19" si="1">IF(AND(ISNUMBER(F9),ISNUMBER(F8)),F9-F8,"")</f>
        <v>0.32796921462305395</v>
      </c>
      <c r="K9" s="50"/>
    </row>
    <row r="10" spans="2:11" ht="20" customHeight="1" x14ac:dyDescent="0.2">
      <c r="B10" s="44">
        <f>EDATE(C5,2)</f>
        <v>46204</v>
      </c>
      <c r="C10" s="33">
        <v>76500</v>
      </c>
      <c r="D10" s="33"/>
      <c r="E10" s="45">
        <f>IF(ISNUMBER(D10),D10,Calculations!$D$12)</f>
        <v>27441.599999999999</v>
      </c>
      <c r="F10" s="46">
        <f t="shared" si="0"/>
        <v>2.7877383242959595</v>
      </c>
      <c r="G10" s="47">
        <f>Inputs!$D$17</f>
        <v>8</v>
      </c>
      <c r="H10" s="47">
        <f>Inputs!$D$18</f>
        <v>3</v>
      </c>
      <c r="I10" s="48" t="str">
        <f>IF(F10="","",IF(F10&gt;=Inputs!$D$17,"On target",IF(F10&gt;=Inputs!$D$18,"Watch","Action needed")))</f>
        <v>Action needed</v>
      </c>
      <c r="J10" s="51">
        <f t="shared" si="1"/>
        <v>-0.16398460731152698</v>
      </c>
      <c r="K10" s="50"/>
    </row>
    <row r="11" spans="2:11" ht="20" customHeight="1" x14ac:dyDescent="0.2">
      <c r="B11" s="44">
        <f>EDATE(C5,3)</f>
        <v>46235</v>
      </c>
      <c r="C11" s="33">
        <v>88000</v>
      </c>
      <c r="D11" s="33"/>
      <c r="E11" s="45">
        <f>IF(ISNUMBER(D11),D11,Calculations!$D$12)</f>
        <v>27441.599999999999</v>
      </c>
      <c r="F11" s="46">
        <f t="shared" si="0"/>
        <v>3.2068100985365287</v>
      </c>
      <c r="G11" s="47">
        <f>Inputs!$D$17</f>
        <v>8</v>
      </c>
      <c r="H11" s="47">
        <f>Inputs!$D$18</f>
        <v>3</v>
      </c>
      <c r="I11" s="48" t="str">
        <f>IF(F11="","",IF(F11&gt;=Inputs!$D$17,"On target",IF(F11&gt;=Inputs!$D$18,"Watch","Action needed")))</f>
        <v>Watch</v>
      </c>
      <c r="J11" s="51">
        <f t="shared" si="1"/>
        <v>0.41907177424056918</v>
      </c>
      <c r="K11" s="50"/>
    </row>
    <row r="12" spans="2:11" ht="20" customHeight="1" x14ac:dyDescent="0.2">
      <c r="B12" s="44">
        <f>EDATE(C5,4)</f>
        <v>46266</v>
      </c>
      <c r="C12" s="33">
        <v>97000</v>
      </c>
      <c r="D12" s="33"/>
      <c r="E12" s="45">
        <f>IF(ISNUMBER(D12),D12,Calculations!$D$12)</f>
        <v>27441.599999999999</v>
      </c>
      <c r="F12" s="46">
        <f t="shared" si="0"/>
        <v>3.5347793131595826</v>
      </c>
      <c r="G12" s="47">
        <f>Inputs!$D$17</f>
        <v>8</v>
      </c>
      <c r="H12" s="47">
        <f>Inputs!$D$18</f>
        <v>3</v>
      </c>
      <c r="I12" s="48" t="str">
        <f>IF(F12="","",IF(F12&gt;=Inputs!$D$17,"On target",IF(F12&gt;=Inputs!$D$18,"Watch","Action needed")))</f>
        <v>Watch</v>
      </c>
      <c r="J12" s="51">
        <f t="shared" si="1"/>
        <v>0.32796921462305395</v>
      </c>
      <c r="K12" s="50"/>
    </row>
    <row r="13" spans="2:11" ht="20" customHeight="1" x14ac:dyDescent="0.2">
      <c r="B13" s="44">
        <f>EDATE(C5,5)</f>
        <v>46296</v>
      </c>
      <c r="C13" s="33">
        <v>105000</v>
      </c>
      <c r="D13" s="33"/>
      <c r="E13" s="45">
        <f>IF(ISNUMBER(D13),D13,Calculations!$D$12)</f>
        <v>27441.599999999999</v>
      </c>
      <c r="F13" s="46">
        <f t="shared" si="0"/>
        <v>3.8263075039356309</v>
      </c>
      <c r="G13" s="47">
        <f>Inputs!$D$17</f>
        <v>8</v>
      </c>
      <c r="H13" s="47">
        <f>Inputs!$D$18</f>
        <v>3</v>
      </c>
      <c r="I13" s="48" t="str">
        <f>IF(F13="","",IF(F13&gt;=Inputs!$D$17,"On target",IF(F13&gt;=Inputs!$D$18,"Watch","Action needed")))</f>
        <v>Watch</v>
      </c>
      <c r="J13" s="51">
        <f t="shared" si="1"/>
        <v>0.2915281907760483</v>
      </c>
      <c r="K13" s="50"/>
    </row>
    <row r="14" spans="2:11" ht="20" customHeight="1" x14ac:dyDescent="0.2">
      <c r="B14" s="44">
        <f>EDATE(C5,6)</f>
        <v>46327</v>
      </c>
      <c r="C14" s="33"/>
      <c r="D14" s="33"/>
      <c r="E14" s="45">
        <f>IF(ISNUMBER(D14),D14,Calculations!$D$12)</f>
        <v>27441.599999999999</v>
      </c>
      <c r="F14" s="46" t="str">
        <f t="shared" si="0"/>
        <v/>
      </c>
      <c r="G14" s="47">
        <f>Inputs!$D$17</f>
        <v>8</v>
      </c>
      <c r="H14" s="47">
        <f>Inputs!$D$18</f>
        <v>3</v>
      </c>
      <c r="I14" s="48" t="str">
        <f>IF(F14="","",IF(F14&gt;=Inputs!$D$17,"On target",IF(F14&gt;=Inputs!$D$18,"Watch","Action needed")))</f>
        <v/>
      </c>
      <c r="J14" s="51" t="str">
        <f t="shared" si="1"/>
        <v/>
      </c>
      <c r="K14" s="50"/>
    </row>
    <row r="15" spans="2:11" ht="20" customHeight="1" x14ac:dyDescent="0.2">
      <c r="B15" s="44">
        <f>EDATE(C5,7)</f>
        <v>46357</v>
      </c>
      <c r="C15" s="33"/>
      <c r="D15" s="33"/>
      <c r="E15" s="45">
        <f>IF(ISNUMBER(D15),D15,Calculations!$D$12)</f>
        <v>27441.599999999999</v>
      </c>
      <c r="F15" s="46" t="str">
        <f t="shared" si="0"/>
        <v/>
      </c>
      <c r="G15" s="47">
        <f>Inputs!$D$17</f>
        <v>8</v>
      </c>
      <c r="H15" s="47">
        <f>Inputs!$D$18</f>
        <v>3</v>
      </c>
      <c r="I15" s="48" t="str">
        <f>IF(F15="","",IF(F15&gt;=Inputs!$D$17,"On target",IF(F15&gt;=Inputs!$D$18,"Watch","Action needed")))</f>
        <v/>
      </c>
      <c r="J15" s="51" t="str">
        <f t="shared" si="1"/>
        <v/>
      </c>
      <c r="K15" s="50"/>
    </row>
    <row r="16" spans="2:11" ht="20" customHeight="1" x14ac:dyDescent="0.2">
      <c r="B16" s="44">
        <f>EDATE(C5,8)</f>
        <v>46388</v>
      </c>
      <c r="C16" s="33"/>
      <c r="D16" s="33"/>
      <c r="E16" s="45">
        <f>IF(ISNUMBER(D16),D16,Calculations!$D$12)</f>
        <v>27441.599999999999</v>
      </c>
      <c r="F16" s="46" t="str">
        <f t="shared" si="0"/>
        <v/>
      </c>
      <c r="G16" s="47">
        <f>Inputs!$D$17</f>
        <v>8</v>
      </c>
      <c r="H16" s="47">
        <f>Inputs!$D$18</f>
        <v>3</v>
      </c>
      <c r="I16" s="48" t="str">
        <f>IF(F16="","",IF(F16&gt;=Inputs!$D$17,"On target",IF(F16&gt;=Inputs!$D$18,"Watch","Action needed")))</f>
        <v/>
      </c>
      <c r="J16" s="51" t="str">
        <f t="shared" si="1"/>
        <v/>
      </c>
      <c r="K16" s="50"/>
    </row>
    <row r="17" spans="2:11" ht="20" customHeight="1" x14ac:dyDescent="0.2">
      <c r="B17" s="44">
        <f>EDATE(C5,9)</f>
        <v>46419</v>
      </c>
      <c r="C17" s="33"/>
      <c r="D17" s="33"/>
      <c r="E17" s="45">
        <f>IF(ISNUMBER(D17),D17,Calculations!$D$12)</f>
        <v>27441.599999999999</v>
      </c>
      <c r="F17" s="46" t="str">
        <f t="shared" si="0"/>
        <v/>
      </c>
      <c r="G17" s="47">
        <f>Inputs!$D$17</f>
        <v>8</v>
      </c>
      <c r="H17" s="47">
        <f>Inputs!$D$18</f>
        <v>3</v>
      </c>
      <c r="I17" s="48" t="str">
        <f>IF(F17="","",IF(F17&gt;=Inputs!$D$17,"On target",IF(F17&gt;=Inputs!$D$18,"Watch","Action needed")))</f>
        <v/>
      </c>
      <c r="J17" s="51" t="str">
        <f t="shared" si="1"/>
        <v/>
      </c>
      <c r="K17" s="50"/>
    </row>
    <row r="18" spans="2:11" ht="20" customHeight="1" x14ac:dyDescent="0.2">
      <c r="B18" s="44">
        <f>EDATE(C5,10)</f>
        <v>46447</v>
      </c>
      <c r="C18" s="33"/>
      <c r="D18" s="33"/>
      <c r="E18" s="45">
        <f>IF(ISNUMBER(D18),D18,Calculations!$D$12)</f>
        <v>27441.599999999999</v>
      </c>
      <c r="F18" s="46" t="str">
        <f t="shared" si="0"/>
        <v/>
      </c>
      <c r="G18" s="47">
        <f>Inputs!$D$17</f>
        <v>8</v>
      </c>
      <c r="H18" s="47">
        <f>Inputs!$D$18</f>
        <v>3</v>
      </c>
      <c r="I18" s="48" t="str">
        <f>IF(F18="","",IF(F18&gt;=Inputs!$D$17,"On target",IF(F18&gt;=Inputs!$D$18,"Watch","Action needed")))</f>
        <v/>
      </c>
      <c r="J18" s="51" t="str">
        <f t="shared" si="1"/>
        <v/>
      </c>
      <c r="K18" s="50"/>
    </row>
    <row r="19" spans="2:11" ht="20" customHeight="1" x14ac:dyDescent="0.2">
      <c r="B19" s="44">
        <f>EDATE(C5,11)</f>
        <v>46478</v>
      </c>
      <c r="C19" s="33"/>
      <c r="D19" s="33"/>
      <c r="E19" s="45">
        <f>IF(ISNUMBER(D19),D19,Calculations!$D$12)</f>
        <v>27441.599999999999</v>
      </c>
      <c r="F19" s="46" t="str">
        <f t="shared" si="0"/>
        <v/>
      </c>
      <c r="G19" s="47">
        <f>Inputs!$D$17</f>
        <v>8</v>
      </c>
      <c r="H19" s="47">
        <f>Inputs!$D$18</f>
        <v>3</v>
      </c>
      <c r="I19" s="48" t="str">
        <f>IF(F19="","",IF(F19&gt;=Inputs!$D$17,"On target",IF(F19&gt;=Inputs!$D$18,"Watch","Action needed")))</f>
        <v/>
      </c>
      <c r="J19" s="51" t="str">
        <f t="shared" si="1"/>
        <v/>
      </c>
      <c r="K19" s="50"/>
    </row>
    <row r="21" spans="2:11" ht="14" x14ac:dyDescent="0.2">
      <c r="B21" s="38" t="s">
        <v>113</v>
      </c>
    </row>
    <row r="22" spans="2:11" ht="14" x14ac:dyDescent="0.2">
      <c r="B22" s="38" t="s">
        <v>114</v>
      </c>
    </row>
  </sheetData>
  <conditionalFormatting sqref="I8:I19">
    <cfRule type="cellIs" dxfId="9" priority="1" operator="equal">
      <formula>"On target"</formula>
    </cfRule>
    <cfRule type="cellIs" dxfId="8" priority="2" operator="equal">
      <formula>"Watch"</formula>
    </cfRule>
    <cfRule type="cellIs" dxfId="7" priority="3" operator="equal">
      <formula>"Action needed"</formula>
    </cfRule>
  </conditionalFormatting>
  <dataValidations count="4">
    <dataValidation type="date" allowBlank="1" showInputMessage="1" showErrorMessage="1" errorTitle="Check this entry" error="Type a date between 2024 and 2040, for example 1/05/2026." promptTitle="First month" prompt="The first month of the tracker, as a date on the 1st. Example: 1/05/2026. The other months follow." sqref="C5" xr:uid="{00000000-0002-0000-0300-000000000000}">
      <formula1>DATE(2024,1,1)</formula1>
      <formula2>DATE(2040,12,31)</formula2>
    </dataValidation>
    <dataValidation type="decimal" allowBlank="1" showInputMessage="1" showErrorMessage="1" errorTitle="Check this entry" error="Type a dollar amount as a plain number, for example 25000. No letters or dollar signs." promptTitle="Cash in the bank" prompt="Cash in the bank on the day you check each month, in dollars. Example: 105000. Fill months in order from the top." sqref="C8:C19" xr:uid="{00000000-0002-0000-0300-000001000000}">
      <formula1>-1000000000</formula1>
      <formula2>1000000000</formula2>
    </dataValidation>
    <dataValidation type="decimal" allowBlank="1" showInputMessage="1" showErrorMessage="1" errorTitle="Check this entry" error="Type a dollar amount as a plain number, for example 25000. No letters or dollar signs." promptTitle="Weekly payroll" prompt="Optional. One week of payroll that month, if it has changed. Leave blank to use today's figure from the Calculations sheet." sqref="D8:D19" xr:uid="{00000000-0002-0000-0300-000002000000}">
      <formula1>0</formula1>
      <formula2>1000000000</formula2>
    </dataValidation>
    <dataValidation type="textLength" operator="lessThanOrEqual" allowBlank="1" showInputMessage="1" showErrorMessage="1" errorTitle="Check this entry" error="Keep the note to 200 characters." promptTitle="Your note" prompt="Optional. The one number you most want to move this month, and why." sqref="K8:K19" xr:uid="{00000000-0002-0000-0300-000003000000}">
      <formula1>200</formula1>
    </dataValidation>
  </dataValidations>
  <printOptions horizontalCentered="1"/>
  <pageMargins left="0.45" right="0.45" top="0.75" bottom="0.65" header="0.3" footer="0.3"/>
  <pageSetup paperSize="9" orientation="landscape"/>
  <headerFooter>
    <oddHeader>&amp;L&amp;8 &amp;K5F6673Weeks of Payroll Covered Calculator&amp;R&amp;8 &amp;K5F6673Ivanka Menken, Strategic Mentor</oddHeader>
    <oddFooter>&amp;L&amp;8 &amp;K5F6673https://ivankamenken.com&amp;C&amp;8 &amp;K5F6673Page &amp;P of &amp;N&amp;R&amp;8 &amp;K5F6673&amp;A</oddFooter>
    <evenHeader>&amp;L&amp;8 &amp;K5F6673Weeks of Payroll Covered Calculator&amp;R&amp;8 &amp;K5F6673Ivanka Menken, Strategic Mentor</evenHeader>
    <evenFooter>&amp;L&amp;8 &amp;K5F6673https://ivankamenken.com&amp;C&amp;8 &amp;K5F6673Page &amp;P of &amp;N&amp;R&amp;8 &amp;K5F6673&amp;A</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919C"/>
    <pageSetUpPr fitToPage="1"/>
  </sheetPr>
  <dimension ref="B1:F47"/>
  <sheetViews>
    <sheetView showGridLines="0" workbookViewId="0"/>
  </sheetViews>
  <sheetFormatPr baseColWidth="10" defaultColWidth="9" defaultRowHeight="18" customHeight="1" x14ac:dyDescent="0.2"/>
  <cols>
    <col min="1" max="1" width="2.3984375" customWidth="1"/>
    <col min="2" max="2" width="50" customWidth="1"/>
    <col min="3" max="3" width="2" customWidth="1"/>
    <col min="4" max="4" width="16" customWidth="1"/>
    <col min="5" max="5" width="2" customWidth="1"/>
    <col min="6" max="6" width="70" customWidth="1"/>
    <col min="7" max="7" width="2.3984375" customWidth="1"/>
  </cols>
  <sheetData>
    <row r="1" spans="2:6" ht="10" customHeight="1" x14ac:dyDescent="0.2"/>
    <row r="2" spans="2:6" ht="34" customHeight="1" x14ac:dyDescent="0.35">
      <c r="B2" s="26" t="s">
        <v>33</v>
      </c>
    </row>
    <row r="3" spans="2:6" ht="20" customHeight="1" x14ac:dyDescent="0.2">
      <c r="B3" s="27" t="s">
        <v>115</v>
      </c>
      <c r="C3" s="28"/>
      <c r="D3" s="28"/>
      <c r="E3" s="28"/>
      <c r="F3" s="28"/>
    </row>
    <row r="5" spans="2:6" ht="22" customHeight="1" x14ac:dyDescent="0.2">
      <c r="B5" s="9" t="s">
        <v>91</v>
      </c>
      <c r="C5" s="1"/>
      <c r="D5" s="1"/>
      <c r="E5" s="1"/>
      <c r="F5" s="1"/>
    </row>
    <row r="6" spans="2:6" ht="14" x14ac:dyDescent="0.2">
      <c r="D6" s="42" t="s">
        <v>116</v>
      </c>
      <c r="F6" s="13" t="s">
        <v>117</v>
      </c>
    </row>
    <row r="7" spans="2:6" ht="20" customHeight="1" x14ac:dyDescent="0.2">
      <c r="B7" s="30" t="s">
        <v>118</v>
      </c>
      <c r="D7" s="52">
        <f>IF(Inputs!$D$10="Weekly",52,IF(Inputs!$D$10="Fortnightly",26,IF(Inputs!$D$10="Monthly",12,0)))</f>
        <v>26</v>
      </c>
      <c r="F7" s="53" t="s">
        <v>119</v>
      </c>
    </row>
    <row r="8" spans="2:6" ht="20" customHeight="1" x14ac:dyDescent="0.2">
      <c r="B8" s="30" t="s">
        <v>120</v>
      </c>
      <c r="D8" s="45">
        <f>Inputs!$D$9*D7/52</f>
        <v>24000</v>
      </c>
      <c r="F8" s="53" t="s">
        <v>121</v>
      </c>
    </row>
    <row r="9" spans="2:6" ht="20" customHeight="1" x14ac:dyDescent="0.2">
      <c r="B9" s="30" t="s">
        <v>122</v>
      </c>
      <c r="D9" s="45">
        <f>D8*Inputs!$D$11</f>
        <v>2880</v>
      </c>
      <c r="F9" s="53" t="s">
        <v>123</v>
      </c>
    </row>
    <row r="10" spans="2:6" ht="20" customHeight="1" x14ac:dyDescent="0.2">
      <c r="B10" s="30" t="s">
        <v>124</v>
      </c>
      <c r="D10" s="45">
        <f>(D8+D9)*Inputs!$D$12</f>
        <v>201.6</v>
      </c>
      <c r="F10" s="53" t="s">
        <v>125</v>
      </c>
    </row>
    <row r="11" spans="2:6" ht="20" customHeight="1" x14ac:dyDescent="0.2">
      <c r="B11" s="30" t="s">
        <v>126</v>
      </c>
      <c r="D11" s="45">
        <f>D8*Inputs!$D$13</f>
        <v>360</v>
      </c>
      <c r="F11" s="53" t="s">
        <v>127</v>
      </c>
    </row>
    <row r="12" spans="2:6" ht="20" customHeight="1" x14ac:dyDescent="0.2">
      <c r="B12" s="54" t="s">
        <v>128</v>
      </c>
      <c r="C12" s="55"/>
      <c r="D12" s="56">
        <f>SUM(D8:D11)</f>
        <v>27441.599999999999</v>
      </c>
      <c r="E12" s="55"/>
      <c r="F12" s="57" t="s">
        <v>129</v>
      </c>
    </row>
    <row r="14" spans="2:6" ht="22" customHeight="1" x14ac:dyDescent="0.2">
      <c r="B14" s="9" t="s">
        <v>130</v>
      </c>
      <c r="C14" s="1"/>
      <c r="D14" s="1"/>
      <c r="E14" s="1"/>
      <c r="F14" s="1"/>
    </row>
    <row r="15" spans="2:6" ht="20" customHeight="1" x14ac:dyDescent="0.2">
      <c r="B15" s="58" t="s">
        <v>131</v>
      </c>
      <c r="D15" s="46">
        <f>IF(D12&gt;0,Inputs!$D$8/D12,0)</f>
        <v>3.8263075039356309</v>
      </c>
      <c r="F15" s="53" t="s">
        <v>132</v>
      </c>
    </row>
    <row r="16" spans="2:6" ht="20" customHeight="1" x14ac:dyDescent="0.2">
      <c r="B16" s="30" t="s">
        <v>133</v>
      </c>
      <c r="D16" s="45">
        <f>IF(D7&gt;0,D12*52/D7,0)</f>
        <v>54883.199999999997</v>
      </c>
      <c r="F16" s="53" t="s">
        <v>134</v>
      </c>
    </row>
    <row r="17" spans="2:6" ht="20" customHeight="1" x14ac:dyDescent="0.2">
      <c r="B17" s="30" t="s">
        <v>135</v>
      </c>
      <c r="D17" s="47">
        <f>IF(D16&gt;0,Inputs!$D$8/D16,0)</f>
        <v>1.9131537519678155</v>
      </c>
      <c r="F17" s="53" t="s">
        <v>136</v>
      </c>
    </row>
    <row r="18" spans="2:6" ht="20" customHeight="1" x14ac:dyDescent="0.2">
      <c r="B18" s="30" t="s">
        <v>137</v>
      </c>
      <c r="D18" s="45">
        <f>Inputs!$D$17*D12</f>
        <v>219532.79999999999</v>
      </c>
      <c r="F18" s="53" t="s">
        <v>138</v>
      </c>
    </row>
    <row r="19" spans="2:6" ht="20" customHeight="1" x14ac:dyDescent="0.2">
      <c r="B19" s="30" t="s">
        <v>139</v>
      </c>
      <c r="D19" s="45">
        <f>D18-Inputs!$D$8</f>
        <v>114532.79999999999</v>
      </c>
      <c r="F19" s="53" t="s">
        <v>140</v>
      </c>
    </row>
    <row r="20" spans="2:6" ht="20" customHeight="1" x14ac:dyDescent="0.2">
      <c r="B20" s="30" t="s">
        <v>141</v>
      </c>
      <c r="D20" s="45">
        <f>Inputs!$D$18*D12</f>
        <v>82324.799999999988</v>
      </c>
      <c r="F20" s="53" t="s">
        <v>142</v>
      </c>
    </row>
    <row r="21" spans="2:6" ht="20" customHeight="1" x14ac:dyDescent="0.2">
      <c r="B21" s="30" t="s">
        <v>143</v>
      </c>
      <c r="D21" s="45">
        <f>D12+Inputs!$D$14</f>
        <v>32941.599999999999</v>
      </c>
      <c r="F21" s="53" t="s">
        <v>144</v>
      </c>
    </row>
    <row r="22" spans="2:6" ht="20" customHeight="1" x14ac:dyDescent="0.2">
      <c r="B22" s="30" t="s">
        <v>145</v>
      </c>
      <c r="D22" s="47">
        <f>IF(D21&gt;0,Inputs!$D$8/D21,0)</f>
        <v>3.1874590183840494</v>
      </c>
      <c r="F22" s="53" t="s">
        <v>146</v>
      </c>
    </row>
    <row r="23" spans="2:6" ht="20" customHeight="1" x14ac:dyDescent="0.2">
      <c r="B23" s="58" t="s">
        <v>147</v>
      </c>
      <c r="D23" s="59" t="str">
        <f>IF(D15&gt;=Inputs!$D$17,"On target",IF(D15&gt;=Inputs!$D$18,"Watch","Action needed"))</f>
        <v>Watch</v>
      </c>
      <c r="F23" s="53" t="s">
        <v>148</v>
      </c>
    </row>
    <row r="25" spans="2:6" ht="22" customHeight="1" x14ac:dyDescent="0.2">
      <c r="B25" s="9" t="s">
        <v>149</v>
      </c>
      <c r="C25" s="1"/>
      <c r="D25" s="1"/>
      <c r="E25" s="1"/>
      <c r="F25" s="1"/>
    </row>
    <row r="26" spans="2:6" ht="14" x14ac:dyDescent="0.2">
      <c r="B26" s="13" t="s">
        <v>150</v>
      </c>
      <c r="D26" s="42" t="s">
        <v>151</v>
      </c>
      <c r="F26" s="13" t="s">
        <v>152</v>
      </c>
    </row>
    <row r="27" spans="2:6" ht="14" x14ac:dyDescent="0.2">
      <c r="B27" s="60">
        <v>2</v>
      </c>
      <c r="D27" s="45">
        <f t="shared" ref="D27:D32" si="0">B27*$D$12</f>
        <v>54883.199999999997</v>
      </c>
      <c r="F27" s="61">
        <f>D27-Inputs!$D$8</f>
        <v>-50116.800000000003</v>
      </c>
    </row>
    <row r="28" spans="2:6" ht="14" x14ac:dyDescent="0.2">
      <c r="B28" s="60">
        <v>4</v>
      </c>
      <c r="D28" s="45">
        <f t="shared" si="0"/>
        <v>109766.39999999999</v>
      </c>
      <c r="F28" s="61">
        <f>D28-Inputs!$D$8</f>
        <v>4766.3999999999942</v>
      </c>
    </row>
    <row r="29" spans="2:6" ht="14" x14ac:dyDescent="0.2">
      <c r="B29" s="60">
        <v>6</v>
      </c>
      <c r="D29" s="45">
        <f t="shared" si="0"/>
        <v>164649.59999999998</v>
      </c>
      <c r="F29" s="61">
        <f>D29-Inputs!$D$8</f>
        <v>59649.599999999977</v>
      </c>
    </row>
    <row r="30" spans="2:6" ht="14" x14ac:dyDescent="0.2">
      <c r="B30" s="60">
        <v>8</v>
      </c>
      <c r="D30" s="45">
        <f t="shared" si="0"/>
        <v>219532.79999999999</v>
      </c>
      <c r="F30" s="61">
        <f>D30-Inputs!$D$8</f>
        <v>114532.79999999999</v>
      </c>
    </row>
    <row r="31" spans="2:6" ht="14" x14ac:dyDescent="0.2">
      <c r="B31" s="60">
        <v>10</v>
      </c>
      <c r="D31" s="45">
        <f t="shared" si="0"/>
        <v>274416</v>
      </c>
      <c r="F31" s="61">
        <f>D31-Inputs!$D$8</f>
        <v>169416</v>
      </c>
    </row>
    <row r="32" spans="2:6" ht="14" x14ac:dyDescent="0.2">
      <c r="B32" s="60">
        <v>13</v>
      </c>
      <c r="D32" s="45">
        <f t="shared" si="0"/>
        <v>356740.8</v>
      </c>
      <c r="F32" s="61">
        <f>D32-Inputs!$D$8</f>
        <v>251740.79999999999</v>
      </c>
    </row>
    <row r="34" spans="2:6" ht="22" customHeight="1" x14ac:dyDescent="0.2">
      <c r="B34" s="9" t="s">
        <v>153</v>
      </c>
      <c r="C34" s="1"/>
      <c r="D34" s="1"/>
      <c r="E34" s="1"/>
      <c r="F34" s="1"/>
    </row>
    <row r="35" spans="2:6" ht="14" x14ac:dyDescent="0.2">
      <c r="B35" s="13" t="s">
        <v>103</v>
      </c>
      <c r="D35" s="42" t="s">
        <v>107</v>
      </c>
    </row>
    <row r="36" spans="2:6" ht="14" x14ac:dyDescent="0.2">
      <c r="B36" s="44">
        <f>Tracker!$B$8</f>
        <v>46143</v>
      </c>
      <c r="D36" s="47">
        <f>IF(ISNUMBER(Tracker!$F$8),Tracker!$F$8,NA())</f>
        <v>2.6237537169844325</v>
      </c>
    </row>
    <row r="37" spans="2:6" ht="14" x14ac:dyDescent="0.2">
      <c r="B37" s="44">
        <f>Tracker!$B$9</f>
        <v>46174</v>
      </c>
      <c r="D37" s="47">
        <f>IF(ISNUMBER(Tracker!$F$9),Tracker!$F$9,NA())</f>
        <v>2.9517229316074864</v>
      </c>
    </row>
    <row r="38" spans="2:6" ht="14" x14ac:dyDescent="0.2">
      <c r="B38" s="44">
        <f>Tracker!$B$10</f>
        <v>46204</v>
      </c>
      <c r="D38" s="47">
        <f>IF(ISNUMBER(Tracker!$F$10),Tracker!$F$10,NA())</f>
        <v>2.7877383242959595</v>
      </c>
    </row>
    <row r="39" spans="2:6" ht="14" x14ac:dyDescent="0.2">
      <c r="B39" s="44">
        <f>Tracker!$B$11</f>
        <v>46235</v>
      </c>
      <c r="D39" s="47">
        <f>IF(ISNUMBER(Tracker!$F$11),Tracker!$F$11,NA())</f>
        <v>3.2068100985365287</v>
      </c>
    </row>
    <row r="40" spans="2:6" ht="14" x14ac:dyDescent="0.2">
      <c r="B40" s="44">
        <f>Tracker!$B$12</f>
        <v>46266</v>
      </c>
      <c r="D40" s="47">
        <f>IF(ISNUMBER(Tracker!$F$12),Tracker!$F$12,NA())</f>
        <v>3.5347793131595826</v>
      </c>
    </row>
    <row r="41" spans="2:6" ht="14" x14ac:dyDescent="0.2">
      <c r="B41" s="44">
        <f>Tracker!$B$13</f>
        <v>46296</v>
      </c>
      <c r="D41" s="47">
        <f>IF(ISNUMBER(Tracker!$F$13),Tracker!$F$13,NA())</f>
        <v>3.8263075039356309</v>
      </c>
    </row>
    <row r="42" spans="2:6" ht="14" x14ac:dyDescent="0.2">
      <c r="B42" s="44">
        <f>Tracker!$B$14</f>
        <v>46327</v>
      </c>
      <c r="D42" s="47" t="e">
        <f>IF(ISNUMBER(Tracker!$F$14),Tracker!$F$14,NA())</f>
        <v>#N/A</v>
      </c>
    </row>
    <row r="43" spans="2:6" ht="14" x14ac:dyDescent="0.2">
      <c r="B43" s="44">
        <f>Tracker!$B$15</f>
        <v>46357</v>
      </c>
      <c r="D43" s="47" t="e">
        <f>IF(ISNUMBER(Tracker!$F$15),Tracker!$F$15,NA())</f>
        <v>#N/A</v>
      </c>
    </row>
    <row r="44" spans="2:6" ht="14" x14ac:dyDescent="0.2">
      <c r="B44" s="44">
        <f>Tracker!$B$16</f>
        <v>46388</v>
      </c>
      <c r="D44" s="47" t="e">
        <f>IF(ISNUMBER(Tracker!$F$16),Tracker!$F$16,NA())</f>
        <v>#N/A</v>
      </c>
    </row>
    <row r="45" spans="2:6" ht="14" x14ac:dyDescent="0.2">
      <c r="B45" s="44">
        <f>Tracker!$B$17</f>
        <v>46419</v>
      </c>
      <c r="D45" s="47" t="e">
        <f>IF(ISNUMBER(Tracker!$F$17),Tracker!$F$17,NA())</f>
        <v>#N/A</v>
      </c>
    </row>
    <row r="46" spans="2:6" ht="14" x14ac:dyDescent="0.2">
      <c r="B46" s="44">
        <f>Tracker!$B$18</f>
        <v>46447</v>
      </c>
      <c r="D46" s="47" t="e">
        <f>IF(ISNUMBER(Tracker!$F$18),Tracker!$F$18,NA())</f>
        <v>#N/A</v>
      </c>
    </row>
    <row r="47" spans="2:6" ht="14" x14ac:dyDescent="0.2">
      <c r="B47" s="44">
        <f>Tracker!$B$19</f>
        <v>46478</v>
      </c>
      <c r="D47" s="47" t="e">
        <f>IF(ISNUMBER(Tracker!$F$19),Tracker!$F$19,NA())</f>
        <v>#N/A</v>
      </c>
    </row>
  </sheetData>
  <conditionalFormatting sqref="D23">
    <cfRule type="cellIs" dxfId="6" priority="1" operator="equal">
      <formula>"On target"</formula>
    </cfRule>
    <cfRule type="cellIs" dxfId="5" priority="2" operator="equal">
      <formula>"Watch"</formula>
    </cfRule>
    <cfRule type="cellIs" dxfId="4" priority="3" operator="equal">
      <formula>"Action needed"</formula>
    </cfRule>
  </conditionalFormatting>
  <printOptions horizontalCentered="1"/>
  <pageMargins left="0.45" right="0.45" top="0.75" bottom="0.65" header="0.3" footer="0.3"/>
  <pageSetup paperSize="9" orientation="landscape"/>
  <headerFooter>
    <oddHeader>&amp;L&amp;8 &amp;K5F6673Weeks of Payroll Covered Calculator&amp;R&amp;8 &amp;K5F6673Ivanka Menken, Strategic Mentor</oddHeader>
    <oddFooter>&amp;L&amp;8 &amp;K5F6673https://ivankamenken.com&amp;C&amp;8 &amp;K5F6673Page &amp;P of &amp;N&amp;R&amp;8 &amp;K5F6673&amp;A</oddFooter>
    <evenHeader>&amp;L&amp;8 &amp;K5F6673Weeks of Payroll Covered Calculator&amp;R&amp;8 &amp;K5F6673Ivanka Menken, Strategic Mentor</evenHeader>
    <evenFooter>&amp;L&amp;8 &amp;K5F6673https://ivankamenken.com&amp;C&amp;8 &amp;K5F6673Page &amp;P of &amp;N&amp;R&amp;8 &amp;K5F6673&amp;A</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7D4F"/>
    <pageSetUpPr fitToPage="1"/>
  </sheetPr>
  <dimension ref="B1:E21"/>
  <sheetViews>
    <sheetView showGridLines="0" workbookViewId="0">
      <pane ySplit="7" topLeftCell="A8" activePane="bottomLeft" state="frozen"/>
      <selection pane="bottomLeft"/>
    </sheetView>
  </sheetViews>
  <sheetFormatPr baseColWidth="10" defaultColWidth="9" defaultRowHeight="18" customHeight="1" x14ac:dyDescent="0.2"/>
  <cols>
    <col min="1" max="1" width="2.3984375" customWidth="1"/>
    <col min="2" max="2" width="6" customWidth="1"/>
    <col min="3" max="3" width="52" customWidth="1"/>
    <col min="4" max="4" width="12" customWidth="1"/>
    <col min="5" max="5" width="74" customWidth="1"/>
    <col min="6" max="6" width="3" customWidth="1"/>
  </cols>
  <sheetData>
    <row r="1" spans="2:5" ht="10" customHeight="1" x14ac:dyDescent="0.2"/>
    <row r="2" spans="2:5" ht="34" customHeight="1" x14ac:dyDescent="0.35">
      <c r="B2" s="26" t="s">
        <v>36</v>
      </c>
    </row>
    <row r="3" spans="2:5" ht="20" customHeight="1" x14ac:dyDescent="0.2">
      <c r="B3" s="27" t="s">
        <v>154</v>
      </c>
      <c r="C3" s="28"/>
      <c r="D3" s="28"/>
      <c r="E3" s="28"/>
    </row>
    <row r="5" spans="2:5" ht="14" x14ac:dyDescent="0.2">
      <c r="C5" s="62" t="s">
        <v>155</v>
      </c>
      <c r="D5" s="63">
        <f>COUNTIF(D8:D21,"Fix")</f>
        <v>0</v>
      </c>
      <c r="E5" s="64" t="str">
        <f>IF(D5=0,"All checks pass","Fix the rows marked Fix")</f>
        <v>All checks pass</v>
      </c>
    </row>
    <row r="6" spans="2:5" ht="14" x14ac:dyDescent="0.2">
      <c r="C6" s="7" t="s">
        <v>156</v>
      </c>
      <c r="D6" s="65">
        <f>COUNTA(C8:C21)</f>
        <v>14</v>
      </c>
    </row>
    <row r="7" spans="2:5" ht="22" customHeight="1" x14ac:dyDescent="0.2">
      <c r="B7" s="43" t="s">
        <v>157</v>
      </c>
      <c r="C7" s="13" t="s">
        <v>158</v>
      </c>
      <c r="D7" s="43" t="s">
        <v>159</v>
      </c>
      <c r="E7" s="13" t="s">
        <v>160</v>
      </c>
    </row>
    <row r="8" spans="2:5" ht="30" customHeight="1" x14ac:dyDescent="0.2">
      <c r="B8" s="66">
        <v>1</v>
      </c>
      <c r="C8" s="11" t="s">
        <v>161</v>
      </c>
      <c r="D8" s="59" t="str">
        <f>IF(ISNUMBER(Inputs!$D$8),"Pass","Fix")</f>
        <v>Pass</v>
      </c>
      <c r="E8" s="67" t="s">
        <v>162</v>
      </c>
    </row>
    <row r="9" spans="2:5" ht="30" customHeight="1" x14ac:dyDescent="0.2">
      <c r="B9" s="66">
        <v>2</v>
      </c>
      <c r="C9" s="11" t="s">
        <v>163</v>
      </c>
      <c r="D9" s="59" t="str">
        <f>IF(AND(ISNUMBER(Inputs!$D$8),Inputs!$D$8&gt;=0),"Pass","Fix")</f>
        <v>Pass</v>
      </c>
      <c r="E9" s="67" t="s">
        <v>164</v>
      </c>
    </row>
    <row r="10" spans="2:5" ht="30" customHeight="1" x14ac:dyDescent="0.2">
      <c r="B10" s="66">
        <v>3</v>
      </c>
      <c r="C10" s="11" t="s">
        <v>165</v>
      </c>
      <c r="D10" s="59" t="str">
        <f>IF(AND(ISNUMBER(Inputs!$D$9),Inputs!$D$9&gt;0),"Pass","Fix")</f>
        <v>Pass</v>
      </c>
      <c r="E10" s="67" t="s">
        <v>166</v>
      </c>
    </row>
    <row r="11" spans="2:5" ht="30" customHeight="1" x14ac:dyDescent="0.2">
      <c r="B11" s="66">
        <v>4</v>
      </c>
      <c r="C11" s="11" t="s">
        <v>167</v>
      </c>
      <c r="D11" s="59" t="str">
        <f>IF(OR(Inputs!$D$10="Weekly",Inputs!$D$10="Fortnightly",Inputs!$D$10="Monthly"),"Pass","Fix")</f>
        <v>Pass</v>
      </c>
      <c r="E11" s="67" t="s">
        <v>168</v>
      </c>
    </row>
    <row r="12" spans="2:5" ht="30" customHeight="1" x14ac:dyDescent="0.2">
      <c r="B12" s="66">
        <v>5</v>
      </c>
      <c r="C12" s="11" t="s">
        <v>169</v>
      </c>
      <c r="D12" s="59" t="str">
        <f>IF(AND(ISNUMBER(Inputs!$D$11),Inputs!$D$11&gt;=0,Inputs!$D$11&lt;=0.3),"Pass","Fix")</f>
        <v>Pass</v>
      </c>
      <c r="E12" s="67" t="s">
        <v>170</v>
      </c>
    </row>
    <row r="13" spans="2:5" ht="30" customHeight="1" x14ac:dyDescent="0.2">
      <c r="B13" s="66">
        <v>6</v>
      </c>
      <c r="C13" s="11" t="s">
        <v>171</v>
      </c>
      <c r="D13" s="59" t="str">
        <f>IF(AND(ISNUMBER(Inputs!$D$12),Inputs!$D$12&gt;=0,Inputs!$D$12&lt;=0.1),"Pass","Fix")</f>
        <v>Pass</v>
      </c>
      <c r="E13" s="67" t="s">
        <v>172</v>
      </c>
    </row>
    <row r="14" spans="2:5" ht="30" customHeight="1" x14ac:dyDescent="0.2">
      <c r="B14" s="66">
        <v>7</v>
      </c>
      <c r="C14" s="11" t="s">
        <v>173</v>
      </c>
      <c r="D14" s="59" t="str">
        <f>IF(AND(ISNUMBER(Inputs!$D$13),Inputs!$D$13&gt;=0,Inputs!$D$13&lt;=0.15),"Pass","Fix")</f>
        <v>Pass</v>
      </c>
      <c r="E14" s="67" t="s">
        <v>174</v>
      </c>
    </row>
    <row r="15" spans="2:5" ht="30" customHeight="1" x14ac:dyDescent="0.2">
      <c r="B15" s="66">
        <v>8</v>
      </c>
      <c r="C15" s="11" t="s">
        <v>175</v>
      </c>
      <c r="D15" s="59" t="str">
        <f>IF(OR(ISBLANK(Inputs!$D$14),AND(ISNUMBER(Inputs!$D$14),Inputs!$D$14&gt;=0)),"Pass","Fix")</f>
        <v>Pass</v>
      </c>
      <c r="E15" s="67" t="s">
        <v>176</v>
      </c>
    </row>
    <row r="16" spans="2:5" ht="30" customHeight="1" x14ac:dyDescent="0.2">
      <c r="B16" s="66">
        <v>9</v>
      </c>
      <c r="C16" s="11" t="s">
        <v>177</v>
      </c>
      <c r="D16" s="59" t="str">
        <f>IF(AND(ISNUMBER(Inputs!$D$17),Inputs!$D$17&gt;0),"Pass","Fix")</f>
        <v>Pass</v>
      </c>
      <c r="E16" s="67" t="s">
        <v>178</v>
      </c>
    </row>
    <row r="17" spans="2:5" ht="30" customHeight="1" x14ac:dyDescent="0.2">
      <c r="B17" s="66">
        <v>10</v>
      </c>
      <c r="C17" s="11" t="s">
        <v>179</v>
      </c>
      <c r="D17" s="59" t="str">
        <f>IF(AND(ISNUMBER(Inputs!$D$18),Inputs!$D$18&gt;=0,Inputs!$D$18&lt;Inputs!$D$17),"Pass","Fix")</f>
        <v>Pass</v>
      </c>
      <c r="E17" s="67" t="s">
        <v>180</v>
      </c>
    </row>
    <row r="18" spans="2:5" ht="30" customHeight="1" x14ac:dyDescent="0.2">
      <c r="B18" s="66">
        <v>11</v>
      </c>
      <c r="C18" s="11" t="s">
        <v>181</v>
      </c>
      <c r="D18" s="59" t="str">
        <f>IF(ISNUMBER(Tracker!$C$5),"Pass","Fix")</f>
        <v>Pass</v>
      </c>
      <c r="E18" s="67" t="s">
        <v>182</v>
      </c>
    </row>
    <row r="19" spans="2:5" ht="30" customHeight="1" x14ac:dyDescent="0.2">
      <c r="B19" s="66">
        <v>12</v>
      </c>
      <c r="C19" s="11" t="s">
        <v>183</v>
      </c>
      <c r="D19" s="59" t="str">
        <f>IF(COUNTIF(Tracker!$C$8:$D$19,"&lt;0")=0,"Pass","Fix")</f>
        <v>Pass</v>
      </c>
      <c r="E19" s="67" t="s">
        <v>184</v>
      </c>
    </row>
    <row r="20" spans="2:5" ht="30" customHeight="1" x14ac:dyDescent="0.2">
      <c r="B20" s="66">
        <v>13</v>
      </c>
      <c r="C20" s="11" t="s">
        <v>185</v>
      </c>
      <c r="D20" s="59" t="str">
        <f>IF(COUNTIFS(Tracker!$C$8:$C$18,"",Tracker!$C$9:$C$19,"&lt;&gt;")=0,"Pass","Fix")</f>
        <v>Pass</v>
      </c>
      <c r="E20" s="67" t="s">
        <v>186</v>
      </c>
    </row>
    <row r="21" spans="2:5" ht="30" customHeight="1" x14ac:dyDescent="0.2">
      <c r="B21" s="66">
        <v>14</v>
      </c>
      <c r="C21" s="11" t="s">
        <v>187</v>
      </c>
      <c r="D21" s="59" t="str">
        <f>IF(ABS(Calculations!$D$15*Calculations!$D$12-Inputs!$D$8)&lt;0.01,"Pass","Fix")</f>
        <v>Pass</v>
      </c>
      <c r="E21" s="67" t="s">
        <v>188</v>
      </c>
    </row>
  </sheetData>
  <conditionalFormatting sqref="D8:D21">
    <cfRule type="cellIs" dxfId="3" priority="3" operator="equal">
      <formula>"Pass"</formula>
    </cfRule>
    <cfRule type="cellIs" dxfId="2" priority="4" operator="equal">
      <formula>"Fix"</formula>
    </cfRule>
  </conditionalFormatting>
  <conditionalFormatting sqref="E5">
    <cfRule type="cellIs" dxfId="1" priority="1" operator="equal">
      <formula>"All checks pass"</formula>
    </cfRule>
    <cfRule type="cellIs" dxfId="0" priority="2" operator="equal">
      <formula>"Fix the rows marked Fix"</formula>
    </cfRule>
  </conditionalFormatting>
  <printOptions horizontalCentered="1"/>
  <pageMargins left="0.45" right="0.45" top="0.75" bottom="0.65" header="0.3" footer="0.3"/>
  <pageSetup paperSize="9" orientation="landscape"/>
  <headerFooter>
    <oddHeader>&amp;L&amp;8 &amp;K5F6673Weeks of Payroll Covered Calculator&amp;R&amp;8 &amp;K5F6673Ivanka Menken, Strategic Mentor</oddHeader>
    <oddFooter>&amp;L&amp;8 &amp;K5F6673https://ivankamenken.com&amp;C&amp;8 &amp;K5F6673Page &amp;P of &amp;N&amp;R&amp;8 &amp;K5F6673&amp;A</oddFooter>
    <evenHeader>&amp;L&amp;8 &amp;K5F6673Weeks of Payroll Covered Calculator&amp;R&amp;8 &amp;K5F6673Ivanka Menken, Strategic Mentor</evenHeader>
    <evenFooter>&amp;L&amp;8 &amp;K5F6673https://ivankamenken.com&amp;C&amp;8 &amp;K5F6673Page &amp;P of &amp;N&amp;R&amp;8 &amp;K5F6673&amp;A</even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Cover</vt:lpstr>
      <vt:lpstr>Inputs</vt:lpstr>
      <vt:lpstr>Dashboard</vt:lpstr>
      <vt:lpstr>Tracker</vt:lpstr>
      <vt:lpstr>Calculations</vt:lpstr>
      <vt:lpstr>Checks</vt:lpstr>
      <vt:lpstr>BusinessName</vt:lpstr>
      <vt:lpstr>CashInBank</vt:lpstr>
      <vt:lpstr>FloorWeeks</vt:lpstr>
      <vt:lpstr>GrossWagesPerRun</vt:lpstr>
      <vt:lpstr>OtherMustPayWeekly</vt:lpstr>
      <vt:lpstr>PayFrequency</vt:lpstr>
      <vt:lpstr>PayrollTaxRate</vt:lpstr>
      <vt:lpstr>Calculations!Print_Area</vt:lpstr>
      <vt:lpstr>Checks!Print_Area</vt:lpstr>
      <vt:lpstr>Cover!Print_Area</vt:lpstr>
      <vt:lpstr>Dashboard!Print_Area</vt:lpstr>
      <vt:lpstr>Inputs!Print_Area</vt:lpstr>
      <vt:lpstr>Tracker!Print_Area</vt:lpstr>
      <vt:lpstr>Checks!Print_Titles</vt:lpstr>
      <vt:lpstr>Tracker!Print_Titles</vt:lpstr>
      <vt:lpstr>SuperGuaranteeRate</vt:lpstr>
      <vt:lpstr>TargetWeeks</vt:lpstr>
      <vt:lpstr>TrackerCash</vt:lpstr>
      <vt:lpstr>TrackerNotes</vt:lpstr>
      <vt:lpstr>TrackerStartMonth</vt:lpstr>
      <vt:lpstr>TrackerWeeklyPayroll</vt:lpstr>
      <vt:lpstr>WorkersCompRate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Weeks of Payroll Covered Calculator</dc:title>
  <dc:subject>Weeks of payroll covered: cash in the bank divided by one week of payroll, with a 12-month tracker</dc:subject>
  <dc:creator>Ivanka Menken</dc:creator>
  <cp:keywords>weeks of payroll covered, payroll cover, super guarantee, payroll tax, cash runway, scorecard, founders, Australia, Ivanka Menken</cp:keywords>
  <dc:description>Cash in the bank divided by one week of payroll, with super, payroll tax and workers compensation built in, a status against your target and a 12-month tracker. Free template from https://ivankamenken.com/templates/payroll-cover-calculator</dc:description>
  <cp:lastModifiedBy>The Art of Service theartofservice.com</cp:lastModifiedBy>
  <dcterms:created xsi:type="dcterms:W3CDTF">2026-10-21T02:26:27Z</dcterms:created>
  <dcterms:modified xsi:type="dcterms:W3CDTF">2026-10-21T02:26:32Z</dcterms:modified>
  <cp:category>Free template for founders</cp:category>
</cp:coreProperties>
</file>